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coring2" sheetId="1" r:id="rId1"/>
    <sheet name="points" sheetId="4" r:id="rId2"/>
  </sheets>
  <calcPr calcId="124519"/>
</workbook>
</file>

<file path=xl/calcChain.xml><?xml version="1.0" encoding="utf-8"?>
<calcChain xmlns="http://schemas.openxmlformats.org/spreadsheetml/2006/main">
  <c r="AK16" i="1"/>
  <c r="AI17"/>
  <c r="AI8"/>
  <c r="AF8"/>
  <c r="AG8"/>
  <c r="AH8"/>
  <c r="AG9"/>
  <c r="AG10"/>
  <c r="AG11"/>
  <c r="AG12"/>
  <c r="AG13"/>
  <c r="AG14"/>
  <c r="AG15"/>
  <c r="AI15" s="1"/>
  <c r="AG16"/>
  <c r="AG17"/>
  <c r="S16"/>
  <c r="U16" s="1"/>
  <c r="S10"/>
  <c r="U10" s="1"/>
  <c r="S8"/>
  <c r="U8" s="1"/>
  <c r="E16"/>
  <c r="F14"/>
  <c r="E14"/>
  <c r="H12"/>
  <c r="F12"/>
  <c r="E10"/>
  <c r="J8"/>
  <c r="I8"/>
  <c r="F8"/>
  <c r="Y17"/>
  <c r="W15"/>
  <c r="W14"/>
  <c r="W13"/>
  <c r="W12"/>
  <c r="W8"/>
  <c r="W9" s="1"/>
  <c r="R11"/>
  <c r="R10"/>
  <c r="J17"/>
  <c r="I16"/>
  <c r="I17" s="1"/>
  <c r="H16"/>
  <c r="H17" s="1"/>
  <c r="G17"/>
  <c r="G10"/>
  <c r="F17"/>
  <c r="F16"/>
  <c r="E17"/>
  <c r="J15"/>
  <c r="J14"/>
  <c r="H15"/>
  <c r="H14"/>
  <c r="F15"/>
  <c r="E15"/>
  <c r="H13"/>
  <c r="G12"/>
  <c r="F13"/>
  <c r="E13"/>
  <c r="E12"/>
  <c r="K16"/>
  <c r="K15"/>
  <c r="K14"/>
  <c r="K13"/>
  <c r="K12"/>
  <c r="K10"/>
  <c r="I11"/>
  <c r="I10"/>
  <c r="H10"/>
  <c r="H11" s="1"/>
  <c r="F10"/>
  <c r="F11" s="1"/>
  <c r="E11"/>
  <c r="AA9"/>
  <c r="AD9" s="1"/>
  <c r="AD8"/>
  <c r="AB16"/>
  <c r="AB13"/>
  <c r="AC13" s="1"/>
  <c r="AB12"/>
  <c r="AC17" s="1"/>
  <c r="Z16"/>
  <c r="Z17" s="1"/>
  <c r="Z14"/>
  <c r="Z15" s="1"/>
  <c r="Z12"/>
  <c r="Z10"/>
  <c r="Z11" s="1"/>
  <c r="Z8"/>
  <c r="Z9" s="1"/>
  <c r="U12"/>
  <c r="N10"/>
  <c r="P10" s="1"/>
  <c r="N8"/>
  <c r="N12" s="1"/>
  <c r="P12" s="1"/>
  <c r="K9"/>
  <c r="K8"/>
  <c r="J9"/>
  <c r="I9"/>
  <c r="H8"/>
  <c r="H9"/>
  <c r="F9"/>
  <c r="E9"/>
  <c r="E8"/>
  <c r="I51" i="4"/>
  <c r="I50"/>
  <c r="H51"/>
  <c r="F51"/>
  <c r="I48"/>
  <c r="I47"/>
  <c r="I46"/>
  <c r="H48"/>
  <c r="F46"/>
  <c r="F48"/>
  <c r="I44"/>
  <c r="I42"/>
  <c r="I40"/>
  <c r="I39"/>
  <c r="I38"/>
  <c r="F38"/>
  <c r="H38" s="1"/>
  <c r="F39"/>
  <c r="H39" s="1"/>
  <c r="F40"/>
  <c r="H40" s="1"/>
  <c r="I36"/>
  <c r="I35"/>
  <c r="I31"/>
  <c r="I33"/>
  <c r="I32"/>
  <c r="I30"/>
  <c r="H31"/>
  <c r="H33"/>
  <c r="F31"/>
  <c r="F32"/>
  <c r="H32" s="1"/>
  <c r="F33"/>
  <c r="I28"/>
  <c r="I27"/>
  <c r="I26"/>
  <c r="I25"/>
  <c r="I23"/>
  <c r="I22"/>
  <c r="I21"/>
  <c r="F22"/>
  <c r="H22" s="1"/>
  <c r="F23"/>
  <c r="H23" s="1"/>
  <c r="F24"/>
  <c r="H24" s="1"/>
  <c r="F25"/>
  <c r="H25" s="1"/>
  <c r="F26"/>
  <c r="H26" s="1"/>
  <c r="F27"/>
  <c r="H27" s="1"/>
  <c r="F28"/>
  <c r="H28" s="1"/>
  <c r="I19"/>
  <c r="I18"/>
  <c r="I16"/>
  <c r="I14"/>
  <c r="F14"/>
  <c r="H14" s="1"/>
  <c r="I13"/>
  <c r="F13"/>
  <c r="H13" s="1"/>
  <c r="I12"/>
  <c r="F12"/>
  <c r="H12" s="1"/>
  <c r="I11"/>
  <c r="F11"/>
  <c r="H11" s="1"/>
  <c r="I9"/>
  <c r="I8"/>
  <c r="I7"/>
  <c r="I6"/>
  <c r="F8"/>
  <c r="H8" s="1"/>
  <c r="F47"/>
  <c r="H47" s="1"/>
  <c r="F50"/>
  <c r="H50" s="1"/>
  <c r="H46"/>
  <c r="F44"/>
  <c r="H44" s="1"/>
  <c r="F21"/>
  <c r="H21" s="1"/>
  <c r="F30"/>
  <c r="H30" s="1"/>
  <c r="F35"/>
  <c r="H35" s="1"/>
  <c r="F36"/>
  <c r="H36" s="1"/>
  <c r="F42"/>
  <c r="H42" s="1"/>
  <c r="F16"/>
  <c r="H16" s="1"/>
  <c r="F17"/>
  <c r="H17" s="1"/>
  <c r="F18"/>
  <c r="H18" s="1"/>
  <c r="F19"/>
  <c r="H19" s="1"/>
  <c r="F7"/>
  <c r="H7" s="1"/>
  <c r="F9"/>
  <c r="H9" s="1"/>
  <c r="F6"/>
  <c r="H6" s="1"/>
  <c r="AC10" i="1" l="1"/>
  <c r="P8"/>
  <c r="Q8" s="1"/>
  <c r="AC16"/>
  <c r="AA10"/>
  <c r="AE8"/>
  <c r="AE9"/>
  <c r="AH9" s="1"/>
  <c r="AA12"/>
  <c r="AD12" s="1"/>
  <c r="V10"/>
  <c r="W10" s="1"/>
  <c r="AA16"/>
  <c r="AA17" s="1"/>
  <c r="AD17" s="1"/>
  <c r="Z13"/>
  <c r="Q12"/>
  <c r="AA14"/>
  <c r="AA15" s="1"/>
  <c r="AD15" s="1"/>
  <c r="V16"/>
  <c r="W16" s="1"/>
  <c r="N16"/>
  <c r="P16" s="1"/>
  <c r="Q16" s="1"/>
  <c r="R16" s="1"/>
  <c r="R17" s="1"/>
  <c r="N14"/>
  <c r="P14" s="1"/>
  <c r="Q14" s="1"/>
  <c r="L8"/>
  <c r="L14"/>
  <c r="L15"/>
  <c r="AH12"/>
  <c r="L16"/>
  <c r="L11"/>
  <c r="L13"/>
  <c r="L9"/>
  <c r="L12"/>
  <c r="W17" l="1"/>
  <c r="X17" s="1"/>
  <c r="X16"/>
  <c r="W11"/>
  <c r="X11" s="1"/>
  <c r="X10"/>
  <c r="R14"/>
  <c r="R12"/>
  <c r="AF11"/>
  <c r="M11"/>
  <c r="R8"/>
  <c r="M12"/>
  <c r="AF12" s="1"/>
  <c r="M8"/>
  <c r="M14"/>
  <c r="AF14" s="1"/>
  <c r="M15"/>
  <c r="AF15" s="1"/>
  <c r="M16"/>
  <c r="AF16" s="1"/>
  <c r="M13"/>
  <c r="AF13" s="1"/>
  <c r="AD10"/>
  <c r="AE10" s="1"/>
  <c r="AH10" s="1"/>
  <c r="AA11"/>
  <c r="AD11" s="1"/>
  <c r="AE11" s="1"/>
  <c r="AH11" s="1"/>
  <c r="AE17"/>
  <c r="AH17" s="1"/>
  <c r="AA13"/>
  <c r="AD13" s="1"/>
  <c r="AE13" s="1"/>
  <c r="AH13" s="1"/>
  <c r="AE15"/>
  <c r="AH15" s="1"/>
  <c r="AD16"/>
  <c r="AE16" s="1"/>
  <c r="AH16" s="1"/>
  <c r="AD14"/>
  <c r="AE14" s="1"/>
  <c r="AH14" s="1"/>
  <c r="AF9"/>
  <c r="R9" l="1"/>
  <c r="X9" s="1"/>
  <c r="AI9" s="1"/>
  <c r="X8"/>
  <c r="R15"/>
  <c r="X15" s="1"/>
  <c r="X14"/>
  <c r="R13"/>
  <c r="X13" s="1"/>
  <c r="AI13" s="1"/>
  <c r="X12"/>
  <c r="Y10"/>
  <c r="Y11" s="1"/>
  <c r="AI11"/>
  <c r="AI16"/>
  <c r="L17"/>
  <c r="M17" s="1"/>
  <c r="AF17" s="1"/>
  <c r="L10"/>
  <c r="M10" s="1"/>
  <c r="AF10" s="1"/>
  <c r="AI10" l="1"/>
  <c r="AK10" s="1"/>
  <c r="Y12"/>
  <c r="Y13" s="1"/>
  <c r="AI12"/>
  <c r="AK12" s="1"/>
  <c r="Y8"/>
  <c r="Y9" s="1"/>
  <c r="AK8"/>
  <c r="Y14"/>
  <c r="Y15" s="1"/>
  <c r="AI14"/>
  <c r="AK14" s="1"/>
</calcChain>
</file>

<file path=xl/sharedStrings.xml><?xml version="1.0" encoding="utf-8"?>
<sst xmlns="http://schemas.openxmlformats.org/spreadsheetml/2006/main" count="154" uniqueCount="98">
  <si>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</si>
  <si>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</si>
  <si>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</si>
  <si>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</si>
  <si>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</si>
  <si>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</si>
  <si>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</si>
  <si>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</si>
  <si>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</si>
  <si>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</si>
  <si>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Гено Андреев</t>
  </si>
  <si>
    <t>Ивелин Добрев</t>
  </si>
  <si>
    <t>Деян Шопов</t>
  </si>
  <si>
    <t>РЕЗУЛТАТ</t>
  </si>
  <si>
    <t>точки</t>
  </si>
  <si>
    <t>време</t>
  </si>
  <si>
    <t>%</t>
  </si>
  <si>
    <t>хит ф.</t>
  </si>
  <si>
    <t>М1</t>
  </si>
  <si>
    <t>М2</t>
  </si>
  <si>
    <t>М3</t>
  </si>
  <si>
    <t>(М1+М2+М3)</t>
  </si>
  <si>
    <t>(%)</t>
  </si>
  <si>
    <t>Състезатели</t>
  </si>
  <si>
    <t>МОДУЛ 1 - MARKSMANSHIP</t>
  </si>
  <si>
    <t>МОДУЛ 3 - LR</t>
  </si>
  <si>
    <t>Ангел Стоянов</t>
  </si>
  <si>
    <t>#</t>
  </si>
  <si>
    <t>Иван Бързилов</t>
  </si>
  <si>
    <t>Exercises</t>
  </si>
  <si>
    <t>размер [m]</t>
  </si>
  <si>
    <t>разстояние [m]</t>
  </si>
  <si>
    <t>MRAD</t>
  </si>
  <si>
    <t>размер[sm]</t>
  </si>
  <si>
    <t>zone</t>
  </si>
  <si>
    <t>TOЧКИ (от табл.)</t>
  </si>
  <si>
    <t>описание</t>
  </si>
  <si>
    <t>средна</t>
  </si>
  <si>
    <t>голяма</t>
  </si>
  <si>
    <t>малка зона</t>
  </si>
  <si>
    <t>тежест</t>
  </si>
  <si>
    <t>гонг</t>
  </si>
  <si>
    <t>МОДУЛ 2 - DYNAMIC</t>
  </si>
  <si>
    <t>Тихомир Трифонов</t>
  </si>
  <si>
    <t>TEAM</t>
  </si>
  <si>
    <t>Светозар Марангозов</t>
  </si>
  <si>
    <t>Емил Йончев</t>
  </si>
  <si>
    <t>Петър Марков</t>
  </si>
  <si>
    <t>А</t>
  </si>
  <si>
    <t>В</t>
  </si>
  <si>
    <t>червена</t>
  </si>
  <si>
    <t>триъгълник</t>
  </si>
  <si>
    <t>голям кръг</t>
  </si>
  <si>
    <t>ромб</t>
  </si>
  <si>
    <t>малък кръг</t>
  </si>
  <si>
    <t>Т1</t>
  </si>
  <si>
    <t>Т2</t>
  </si>
  <si>
    <t>Т3</t>
  </si>
  <si>
    <t>Т4</t>
  </si>
  <si>
    <t xml:space="preserve">малка </t>
  </si>
  <si>
    <t>малка</t>
  </si>
  <si>
    <t>голяма зона</t>
  </si>
  <si>
    <t>12 кал</t>
  </si>
  <si>
    <t>ТТ</t>
  </si>
  <si>
    <t>МАК</t>
  </si>
  <si>
    <t>сайдер</t>
  </si>
  <si>
    <t>М2Е2</t>
  </si>
  <si>
    <t>М3Е1</t>
  </si>
  <si>
    <t>М3Е2</t>
  </si>
  <si>
    <t>кръгъл гонг</t>
  </si>
  <si>
    <t>квадратен гонг</t>
  </si>
  <si>
    <t>М2Е1</t>
  </si>
  <si>
    <t xml:space="preserve"> (%)</t>
  </si>
  <si>
    <t>индив.</t>
  </si>
  <si>
    <t>TEAM FINAL</t>
  </si>
  <si>
    <t>M1</t>
  </si>
  <si>
    <t>Shooter</t>
  </si>
  <si>
    <t>FINAL INDIVIDUAL</t>
  </si>
  <si>
    <t>Sh. A + Sh. B</t>
  </si>
  <si>
    <t>E1</t>
  </si>
  <si>
    <t>E2</t>
  </si>
  <si>
    <t>E3</t>
  </si>
  <si>
    <t>E4</t>
  </si>
  <si>
    <t>E5</t>
  </si>
  <si>
    <t>E6</t>
  </si>
  <si>
    <t>E7</t>
  </si>
  <si>
    <t>T-Class Tactical Sniper 16.04.2016, Slivnica, Bulgaria</t>
  </si>
  <si>
    <t>Bulgarian T-Class Federation</t>
  </si>
  <si>
    <t>M1E1</t>
  </si>
  <si>
    <t>M1E2</t>
  </si>
  <si>
    <t>M1E3</t>
  </si>
  <si>
    <t>M1E4</t>
  </si>
  <si>
    <t>M1E5</t>
  </si>
  <si>
    <t>M1E6</t>
  </si>
  <si>
    <t>M1E7</t>
  </si>
  <si>
    <t>M2E1</t>
  </si>
  <si>
    <t>INDIVID.</t>
  </si>
  <si>
    <t>PLACE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</si>
</sst>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1" xfId="0" applyBorder="1"/>
    <xf numFmtId="2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0" fontId="9" fillId="0" borderId="0" xfId="0" applyFont="1" applyFill="1" applyBorder="1"/>
    <xf numFmtId="0" fontId="4" fillId="0" borderId="26" xfId="0" applyFont="1" applyBorder="1"/>
    <xf numFmtId="0" fontId="4" fillId="0" borderId="28" xfId="0" applyFont="1" applyBorder="1"/>
    <xf numFmtId="2" fontId="0" fillId="0" borderId="1" xfId="0" applyNumberFormat="1" applyBorder="1"/>
    <xf numFmtId="0" fontId="0" fillId="0" borderId="26" xfId="0" applyBorder="1"/>
    <xf numFmtId="165" fontId="0" fillId="0" borderId="0" xfId="0" applyNumberFormat="1"/>
    <xf numFmtId="165" fontId="0" fillId="0" borderId="0" xfId="0" applyNumberFormat="1" applyFill="1" applyBorder="1"/>
    <xf numFmtId="0" fontId="0" fillId="0" borderId="0" xfId="0" applyBorder="1"/>
    <xf numFmtId="0" fontId="1" fillId="0" borderId="0" xfId="0" applyFont="1"/>
    <xf numFmtId="0" fontId="13" fillId="0" borderId="1" xfId="0" applyFont="1" applyBorder="1" applyAlignment="1">
      <alignment horizontal="center" vertical="top" wrapText="1"/>
    </xf>
    <xf numFmtId="2" fontId="1" fillId="0" borderId="0" xfId="0" applyNumberFormat="1" applyFont="1"/>
    <xf numFmtId="2" fontId="13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4" fillId="0" borderId="0" xfId="0" applyFont="1"/>
    <xf numFmtId="0" fontId="14" fillId="0" borderId="1" xfId="0" applyFont="1" applyBorder="1"/>
    <xf numFmtId="0" fontId="0" fillId="0" borderId="19" xfId="0" applyBorder="1"/>
    <xf numFmtId="0" fontId="1" fillId="0" borderId="19" xfId="0" applyFont="1" applyBorder="1"/>
    <xf numFmtId="2" fontId="0" fillId="0" borderId="19" xfId="0" applyNumberFormat="1" applyBorder="1"/>
    <xf numFmtId="0" fontId="14" fillId="0" borderId="19" xfId="0" applyFont="1" applyBorder="1"/>
    <xf numFmtId="0" fontId="0" fillId="0" borderId="32" xfId="0" applyBorder="1"/>
    <xf numFmtId="2" fontId="0" fillId="0" borderId="0" xfId="0" applyNumberFormat="1" applyBorder="1"/>
    <xf numFmtId="0" fontId="14" fillId="0" borderId="0" xfId="0" applyFont="1" applyBorder="1"/>
    <xf numFmtId="0" fontId="0" fillId="0" borderId="31" xfId="0" applyBorder="1"/>
    <xf numFmtId="0" fontId="0" fillId="0" borderId="6" xfId="0" applyBorder="1"/>
    <xf numFmtId="165" fontId="0" fillId="0" borderId="34" xfId="0" applyNumberFormat="1" applyBorder="1"/>
    <xf numFmtId="165" fontId="0" fillId="0" borderId="46" xfId="0" applyNumberFormat="1" applyBorder="1"/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0" fillId="0" borderId="36" xfId="0" applyNumberFormat="1" applyFill="1" applyBorder="1"/>
    <xf numFmtId="165" fontId="0" fillId="0" borderId="45" xfId="0" applyNumberFormat="1" applyFill="1" applyBorder="1"/>
    <xf numFmtId="165" fontId="0" fillId="0" borderId="28" xfId="0" applyNumberFormat="1" applyBorder="1"/>
    <xf numFmtId="165" fontId="0" fillId="0" borderId="42" xfId="0" applyNumberFormat="1" applyBorder="1"/>
    <xf numFmtId="0" fontId="0" fillId="0" borderId="47" xfId="0" applyBorder="1"/>
    <xf numFmtId="165" fontId="0" fillId="0" borderId="40" xfId="0" applyNumberFormat="1" applyBorder="1"/>
    <xf numFmtId="165" fontId="0" fillId="0" borderId="18" xfId="0" applyNumberFormat="1" applyFill="1" applyBorder="1"/>
    <xf numFmtId="165" fontId="0" fillId="0" borderId="48" xfId="0" applyNumberFormat="1" applyFill="1" applyBorder="1"/>
    <xf numFmtId="0" fontId="6" fillId="0" borderId="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0" fillId="0" borderId="19" xfId="0" applyNumberFormat="1" applyBorder="1"/>
    <xf numFmtId="0" fontId="3" fillId="0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0" fillId="0" borderId="47" xfId="0" applyNumberFormat="1" applyBorder="1"/>
    <xf numFmtId="165" fontId="0" fillId="0" borderId="49" xfId="0" applyNumberFormat="1" applyBorder="1"/>
    <xf numFmtId="2" fontId="0" fillId="0" borderId="0" xfId="0" applyNumberFormat="1" applyFill="1" applyBorder="1"/>
    <xf numFmtId="0" fontId="0" fillId="0" borderId="8" xfId="0" applyBorder="1"/>
    <xf numFmtId="165" fontId="0" fillId="0" borderId="41" xfId="0" applyNumberFormat="1" applyFill="1" applyBorder="1"/>
    <xf numFmtId="165" fontId="0" fillId="0" borderId="6" xfId="0" applyNumberFormat="1" applyBorder="1"/>
    <xf numFmtId="165" fontId="0" fillId="0" borderId="7" xfId="0" applyNumberFormat="1" applyBorder="1"/>
    <xf numFmtId="165" fontId="5" fillId="0" borderId="37" xfId="0" applyNumberFormat="1" applyFont="1" applyBorder="1" applyAlignment="1">
      <alignment horizontal="center"/>
    </xf>
    <xf numFmtId="0" fontId="11" fillId="0" borderId="39" xfId="0" applyFont="1" applyBorder="1"/>
    <xf numFmtId="165" fontId="11" fillId="0" borderId="28" xfId="0" applyNumberFormat="1" applyFont="1" applyBorder="1" applyAlignment="1">
      <alignment horizontal="center"/>
    </xf>
    <xf numFmtId="0" fontId="11" fillId="0" borderId="28" xfId="0" applyFont="1" applyBorder="1"/>
    <xf numFmtId="165" fontId="0" fillId="0" borderId="4" xfId="0" applyNumberFormat="1" applyBorder="1"/>
    <xf numFmtId="165" fontId="0" fillId="0" borderId="37" xfId="0" applyNumberFormat="1" applyBorder="1"/>
    <xf numFmtId="165" fontId="0" fillId="0" borderId="36" xfId="0" applyNumberFormat="1" applyBorder="1"/>
    <xf numFmtId="165" fontId="0" fillId="0" borderId="48" xfId="0" applyNumberFormat="1" applyBorder="1"/>
    <xf numFmtId="165" fontId="0" fillId="0" borderId="45" xfId="0" applyNumberFormat="1" applyBorder="1"/>
    <xf numFmtId="165" fontId="11" fillId="0" borderId="29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43" xfId="0" applyFont="1" applyBorder="1"/>
    <xf numFmtId="0" fontId="7" fillId="0" borderId="2" xfId="0" applyFont="1" applyBorder="1"/>
    <xf numFmtId="0" fontId="4" fillId="0" borderId="29" xfId="0" applyFont="1" applyBorder="1"/>
    <xf numFmtId="1" fontId="15" fillId="0" borderId="37" xfId="0" applyNumberFormat="1" applyFont="1" applyFill="1" applyBorder="1" applyAlignment="1">
      <alignment horizontal="center"/>
    </xf>
    <xf numFmtId="1" fontId="15" fillId="0" borderId="36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65" fontId="5" fillId="0" borderId="46" xfId="0" applyNumberFormat="1" applyFont="1" applyFill="1" applyBorder="1"/>
    <xf numFmtId="165" fontId="5" fillId="0" borderId="7" xfId="0" applyNumberFormat="1" applyFont="1" applyBorder="1"/>
    <xf numFmtId="0" fontId="0" fillId="0" borderId="29" xfId="0" applyBorder="1"/>
    <xf numFmtId="0" fontId="15" fillId="0" borderId="16" xfId="0" applyFont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0" fontId="2" fillId="0" borderId="26" xfId="0" applyFont="1" applyFill="1" applyBorder="1"/>
    <xf numFmtId="2" fontId="2" fillId="0" borderId="28" xfId="0" applyNumberFormat="1" applyFont="1" applyFill="1" applyBorder="1"/>
    <xf numFmtId="164" fontId="2" fillId="0" borderId="28" xfId="0" applyNumberFormat="1" applyFont="1" applyBorder="1"/>
    <xf numFmtId="165" fontId="2" fillId="0" borderId="28" xfId="0" applyNumberFormat="1" applyFont="1" applyBorder="1" applyAlignment="1">
      <alignment horizontal="center"/>
    </xf>
    <xf numFmtId="0" fontId="2" fillId="0" borderId="28" xfId="0" applyFont="1" applyFill="1" applyBorder="1"/>
    <xf numFmtId="164" fontId="2" fillId="0" borderId="29" xfId="0" applyNumberFormat="1" applyFont="1" applyBorder="1"/>
    <xf numFmtId="164" fontId="2" fillId="0" borderId="2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166" fontId="0" fillId="0" borderId="25" xfId="0" applyNumberFormat="1" applyBorder="1"/>
    <xf numFmtId="166" fontId="0" fillId="0" borderId="19" xfId="0" applyNumberFormat="1" applyBorder="1"/>
    <xf numFmtId="166" fontId="0" fillId="0" borderId="19" xfId="0" applyNumberFormat="1" applyFill="1" applyBorder="1"/>
    <xf numFmtId="2" fontId="0" fillId="0" borderId="18" xfId="0" applyNumberFormat="1" applyFill="1" applyBorder="1"/>
    <xf numFmtId="165" fontId="0" fillId="0" borderId="40" xfId="0" applyNumberFormat="1" applyFill="1" applyBorder="1"/>
    <xf numFmtId="0" fontId="10" fillId="0" borderId="43" xfId="0" applyFont="1" applyBorder="1"/>
    <xf numFmtId="1" fontId="10" fillId="0" borderId="17" xfId="0" applyNumberFormat="1" applyFont="1" applyFill="1" applyBorder="1" applyAlignment="1">
      <alignment horizontal="center"/>
    </xf>
    <xf numFmtId="166" fontId="0" fillId="0" borderId="59" xfId="0" applyNumberFormat="1" applyBorder="1"/>
    <xf numFmtId="166" fontId="0" fillId="0" borderId="9" xfId="0" applyNumberFormat="1" applyBorder="1"/>
    <xf numFmtId="166" fontId="0" fillId="0" borderId="9" xfId="0" applyNumberFormat="1" applyFill="1" applyBorder="1"/>
    <xf numFmtId="2" fontId="0" fillId="0" borderId="17" xfId="0" applyNumberFormat="1" applyFill="1" applyBorder="1"/>
    <xf numFmtId="165" fontId="0" fillId="0" borderId="17" xfId="0" applyNumberFormat="1" applyFill="1" applyBorder="1"/>
    <xf numFmtId="165" fontId="0" fillId="0" borderId="9" xfId="0" applyNumberFormat="1" applyBorder="1"/>
    <xf numFmtId="165" fontId="0" fillId="0" borderId="4" xfId="0" applyNumberFormat="1" applyFill="1" applyBorder="1"/>
    <xf numFmtId="165" fontId="0" fillId="0" borderId="10" xfId="0" applyNumberFormat="1" applyBorder="1"/>
    <xf numFmtId="165" fontId="10" fillId="0" borderId="37" xfId="0" applyNumberFormat="1" applyFont="1" applyFill="1" applyBorder="1"/>
    <xf numFmtId="165" fontId="0" fillId="0" borderId="8" xfId="0" applyNumberFormat="1" applyBorder="1"/>
    <xf numFmtId="0" fontId="0" fillId="0" borderId="44" xfId="0" applyBorder="1"/>
    <xf numFmtId="1" fontId="10" fillId="0" borderId="41" xfId="0" applyNumberFormat="1" applyFont="1" applyFill="1" applyBorder="1" applyAlignment="1">
      <alignment horizontal="center"/>
    </xf>
    <xf numFmtId="166" fontId="0" fillId="0" borderId="52" xfId="0" applyNumberFormat="1" applyBorder="1"/>
    <xf numFmtId="166" fontId="0" fillId="0" borderId="42" xfId="0" applyNumberFormat="1" applyBorder="1"/>
    <xf numFmtId="166" fontId="0" fillId="0" borderId="42" xfId="0" applyNumberFormat="1" applyFill="1" applyBorder="1"/>
    <xf numFmtId="2" fontId="5" fillId="0" borderId="41" xfId="0" applyNumberFormat="1" applyFont="1" applyFill="1" applyBorder="1"/>
    <xf numFmtId="165" fontId="5" fillId="0" borderId="41" xfId="0" applyNumberFormat="1" applyFont="1" applyBorder="1"/>
    <xf numFmtId="165" fontId="0" fillId="0" borderId="46" xfId="0" applyNumberFormat="1" applyFill="1" applyBorder="1"/>
    <xf numFmtId="165" fontId="0" fillId="0" borderId="51" xfId="0" applyNumberFormat="1" applyFill="1" applyBorder="1"/>
    <xf numFmtId="1" fontId="10" fillId="0" borderId="30" xfId="0" applyNumberFormat="1" applyFont="1" applyFill="1" applyBorder="1" applyAlignment="1">
      <alignment horizontal="center"/>
    </xf>
    <xf numFmtId="166" fontId="0" fillId="0" borderId="39" xfId="0" applyNumberFormat="1" applyBorder="1"/>
    <xf numFmtId="166" fontId="0" fillId="0" borderId="28" xfId="0" applyNumberFormat="1" applyBorder="1"/>
    <xf numFmtId="166" fontId="0" fillId="0" borderId="28" xfId="0" applyNumberFormat="1" applyFill="1" applyBorder="1"/>
    <xf numFmtId="2" fontId="0" fillId="0" borderId="30" xfId="0" applyNumberFormat="1" applyBorder="1"/>
    <xf numFmtId="165" fontId="0" fillId="0" borderId="30" xfId="0" applyNumberFormat="1" applyFill="1" applyBorder="1"/>
    <xf numFmtId="165" fontId="10" fillId="0" borderId="28" xfId="0" applyNumberFormat="1" applyFont="1" applyFill="1" applyBorder="1"/>
    <xf numFmtId="165" fontId="0" fillId="0" borderId="34" xfId="0" applyNumberFormat="1" applyFill="1" applyBorder="1"/>
    <xf numFmtId="165" fontId="0" fillId="0" borderId="27" xfId="0" applyNumberFormat="1" applyBorder="1"/>
    <xf numFmtId="165" fontId="0" fillId="0" borderId="57" xfId="0" applyNumberFormat="1" applyFill="1" applyBorder="1"/>
    <xf numFmtId="165" fontId="0" fillId="0" borderId="26" xfId="0" applyNumberFormat="1" applyBorder="1"/>
    <xf numFmtId="0" fontId="0" fillId="0" borderId="20" xfId="0" applyBorder="1"/>
    <xf numFmtId="2" fontId="0" fillId="0" borderId="18" xfId="0" applyNumberFormat="1" applyBorder="1"/>
    <xf numFmtId="0" fontId="0" fillId="0" borderId="43" xfId="0" applyBorder="1"/>
    <xf numFmtId="2" fontId="0" fillId="0" borderId="17" xfId="0" applyNumberFormat="1" applyBorder="1"/>
    <xf numFmtId="165" fontId="5" fillId="0" borderId="17" xfId="0" applyNumberFormat="1" applyFont="1" applyFill="1" applyBorder="1"/>
    <xf numFmtId="165" fontId="5" fillId="0" borderId="37" xfId="0" applyNumberFormat="1" applyFont="1" applyFill="1" applyBorder="1"/>
    <xf numFmtId="166" fontId="0" fillId="0" borderId="52" xfId="0" applyNumberFormat="1" applyFill="1" applyBorder="1"/>
    <xf numFmtId="2" fontId="0" fillId="0" borderId="41" xfId="0" applyNumberFormat="1" applyFill="1" applyBorder="1"/>
    <xf numFmtId="165" fontId="10" fillId="0" borderId="42" xfId="0" applyNumberFormat="1" applyFont="1" applyFill="1" applyBorder="1"/>
    <xf numFmtId="166" fontId="16" fillId="0" borderId="9" xfId="0" applyNumberFormat="1" applyFont="1" applyFill="1" applyBorder="1"/>
    <xf numFmtId="165" fontId="5" fillId="0" borderId="4" xfId="0" applyNumberFormat="1" applyFont="1" applyFill="1" applyBorder="1"/>
    <xf numFmtId="165" fontId="5" fillId="0" borderId="10" xfId="0" applyNumberFormat="1" applyFont="1" applyBorder="1"/>
    <xf numFmtId="165" fontId="0" fillId="0" borderId="37" xfId="0" applyNumberFormat="1" applyFill="1" applyBorder="1"/>
    <xf numFmtId="166" fontId="16" fillId="0" borderId="42" xfId="0" applyNumberFormat="1" applyFont="1" applyFill="1" applyBorder="1"/>
    <xf numFmtId="2" fontId="0" fillId="0" borderId="41" xfId="0" applyNumberFormat="1" applyBorder="1"/>
    <xf numFmtId="165" fontId="5" fillId="0" borderId="41" xfId="0" applyNumberFormat="1" applyFont="1" applyFill="1" applyBorder="1"/>
    <xf numFmtId="166" fontId="0" fillId="0" borderId="8" xfId="0" applyNumberFormat="1" applyBorder="1"/>
    <xf numFmtId="166" fontId="0" fillId="0" borderId="6" xfId="0" applyNumberFormat="1" applyBorder="1"/>
    <xf numFmtId="166" fontId="0" fillId="0" borderId="47" xfId="0" applyNumberFormat="1" applyBorder="1"/>
    <xf numFmtId="166" fontId="0" fillId="0" borderId="26" xfId="0" applyNumberFormat="1" applyBorder="1"/>
    <xf numFmtId="165" fontId="2" fillId="0" borderId="29" xfId="0" applyNumberFormat="1" applyFont="1" applyBorder="1" applyAlignment="1">
      <alignment horizontal="center"/>
    </xf>
    <xf numFmtId="0" fontId="5" fillId="0" borderId="55" xfId="0" applyFont="1" applyBorder="1"/>
    <xf numFmtId="164" fontId="3" fillId="0" borderId="55" xfId="0" applyNumberFormat="1" applyFont="1" applyBorder="1" applyAlignment="1"/>
    <xf numFmtId="164" fontId="0" fillId="0" borderId="55" xfId="0" applyNumberFormat="1" applyBorder="1"/>
    <xf numFmtId="0" fontId="12" fillId="0" borderId="55" xfId="0" applyFont="1" applyBorder="1"/>
    <xf numFmtId="165" fontId="11" fillId="0" borderId="55" xfId="0" applyNumberFormat="1" applyFont="1" applyBorder="1" applyAlignment="1">
      <alignment horizontal="center"/>
    </xf>
    <xf numFmtId="0" fontId="17" fillId="0" borderId="56" xfId="0" applyFont="1" applyBorder="1"/>
    <xf numFmtId="0" fontId="17" fillId="0" borderId="57" xfId="0" applyFont="1" applyBorder="1" applyAlignment="1">
      <alignment horizontal="center"/>
    </xf>
    <xf numFmtId="2" fontId="1" fillId="0" borderId="0" xfId="0" applyNumberFormat="1" applyFont="1" applyBorder="1"/>
    <xf numFmtId="0" fontId="8" fillId="0" borderId="1" xfId="0" applyFont="1" applyBorder="1"/>
    <xf numFmtId="0" fontId="18" fillId="0" borderId="1" xfId="0" applyFont="1" applyBorder="1"/>
    <xf numFmtId="1" fontId="0" fillId="0" borderId="0" xfId="0" applyNumberFormat="1"/>
    <xf numFmtId="1" fontId="17" fillId="0" borderId="12" xfId="0" applyNumberFormat="1" applyFont="1" applyBorder="1" applyAlignment="1">
      <alignment horizontal="center"/>
    </xf>
    <xf numFmtId="1" fontId="6" fillId="0" borderId="57" xfId="0" applyNumberFormat="1" applyFont="1" applyBorder="1" applyAlignment="1">
      <alignment horizontal="center"/>
    </xf>
    <xf numFmtId="1" fontId="0" fillId="0" borderId="56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0" borderId="57" xfId="0" applyNumberFormat="1" applyFill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0" fillId="0" borderId="0" xfId="0" applyFont="1" applyBorder="1"/>
    <xf numFmtId="165" fontId="5" fillId="0" borderId="0" xfId="0" applyNumberFormat="1" applyFont="1" applyFill="1" applyBorder="1"/>
    <xf numFmtId="1" fontId="0" fillId="2" borderId="51" xfId="0" applyNumberFormat="1" applyFill="1" applyBorder="1" applyAlignment="1">
      <alignment horizontal="center"/>
    </xf>
    <xf numFmtId="1" fontId="5" fillId="2" borderId="51" xfId="0" applyNumberFormat="1" applyFont="1" applyFill="1" applyBorder="1" applyAlignment="1">
      <alignment horizontal="center"/>
    </xf>
    <xf numFmtId="1" fontId="0" fillId="2" borderId="56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64" fontId="3" fillId="0" borderId="6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5" fillId="0" borderId="56" xfId="0" applyNumberFormat="1" applyFont="1" applyBorder="1" applyAlignment="1">
      <alignment horizontal="right" vertical="center"/>
    </xf>
    <xf numFmtId="165" fontId="5" fillId="0" borderId="51" xfId="0" applyNumberFormat="1" applyFont="1" applyBorder="1" applyAlignment="1">
      <alignment horizontal="right" vertical="center"/>
    </xf>
    <xf numFmtId="165" fontId="0" fillId="0" borderId="57" xfId="0" applyNumberForma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165" fontId="0" fillId="0" borderId="56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50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50" xfId="0" applyNumberFormat="1" applyBorder="1" applyAlignment="1">
      <alignment horizontal="right" vertical="center"/>
    </xf>
    <xf numFmtId="165" fontId="0" fillId="0" borderId="61" xfId="0" applyNumberFormat="1" applyBorder="1" applyAlignment="1">
      <alignment horizontal="right" vertical="center"/>
    </xf>
    <xf numFmtId="164" fontId="0" fillId="0" borderId="61" xfId="0" applyNumberFormat="1" applyBorder="1" applyAlignment="1">
      <alignment horizontal="right" vertical="center"/>
    </xf>
    <xf numFmtId="2" fontId="0" fillId="0" borderId="61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166" fontId="0" fillId="0" borderId="13" xfId="0" applyNumberFormat="1" applyBorder="1" applyAlignment="1">
      <alignment horizontal="right" vertical="center"/>
    </xf>
    <xf numFmtId="166" fontId="0" fillId="0" borderId="50" xfId="0" applyNumberFormat="1" applyBorder="1" applyAlignment="1">
      <alignment horizontal="right" vertical="center"/>
    </xf>
    <xf numFmtId="166" fontId="0" fillId="0" borderId="61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6" fontId="0" fillId="0" borderId="62" xfId="0" applyNumberFormat="1" applyBorder="1" applyAlignment="1">
      <alignment horizontal="right" vertical="center"/>
    </xf>
    <xf numFmtId="166" fontId="0" fillId="0" borderId="53" xfId="0" applyNumberFormat="1" applyBorder="1" applyAlignment="1">
      <alignment horizontal="right" vertical="center"/>
    </xf>
    <xf numFmtId="0" fontId="5" fillId="0" borderId="24" xfId="0" applyFont="1" applyBorder="1" applyAlignment="1">
      <alignment horizontal="center"/>
    </xf>
    <xf numFmtId="1" fontId="5" fillId="0" borderId="56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65" fontId="0" fillId="0" borderId="6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6"/>
  <sheetViews>
    <sheetView tabSelected="1" zoomScale="110" zoomScaleNormal="110" workbookViewId="0">
      <pane xSplit="2" ySplit="6" topLeftCell="M7" activePane="bottomRight" state="frozen"/>
      <selection pane="topRight" activeCell="C1" sqref="C1"/>
      <selection pane="bottomLeft" activeCell="A4" sqref="A4"/>
      <selection pane="bottomRight" activeCell="AD33" sqref="AD33"/>
    </sheetView>
  </sheetViews>
  <sheetFormatPr defaultRowHeight="15"/>
  <cols>
    <col min="1" max="1" width="3.7109375" customWidth="1"/>
    <col min="2" max="2" width="21.7109375" bestFit="1" customWidth="1"/>
    <col min="3" max="3" width="13.28515625" style="77" customWidth="1"/>
    <col min="4" max="4" width="8" style="36" bestFit="1" customWidth="1"/>
    <col min="5" max="7" width="6.5703125" bestFit="1" customWidth="1"/>
    <col min="8" max="9" width="5.5703125" bestFit="1" customWidth="1"/>
    <col min="10" max="10" width="6.28515625" bestFit="1" customWidth="1"/>
    <col min="11" max="11" width="5.5703125" bestFit="1" customWidth="1"/>
    <col min="12" max="12" width="9.85546875" bestFit="1" customWidth="1"/>
    <col min="13" max="13" width="7.7109375" style="15" customWidth="1"/>
    <col min="14" max="14" width="6.140625" bestFit="1" customWidth="1"/>
    <col min="15" max="15" width="6.85546875" style="2" bestFit="1" customWidth="1"/>
    <col min="16" max="16" width="7.7109375" style="7" bestFit="1" customWidth="1"/>
    <col min="17" max="17" width="7.7109375" style="15" bestFit="1" customWidth="1"/>
    <col min="18" max="18" width="7.140625" style="15" bestFit="1" customWidth="1"/>
    <col min="19" max="19" width="6.140625" bestFit="1" customWidth="1"/>
    <col min="20" max="20" width="6.85546875" bestFit="1" customWidth="1"/>
    <col min="21" max="22" width="7.7109375" style="7" bestFit="1" customWidth="1"/>
    <col min="23" max="23" width="7.140625" style="7" bestFit="1" customWidth="1"/>
    <col min="24" max="24" width="10" style="7" bestFit="1" customWidth="1"/>
    <col min="25" max="25" width="7.7109375" style="7" bestFit="1" customWidth="1"/>
    <col min="26" max="26" width="7.140625" customWidth="1"/>
    <col min="27" max="27" width="7.7109375" style="15" bestFit="1" customWidth="1"/>
    <col min="28" max="28" width="7.140625" customWidth="1"/>
    <col min="29" max="29" width="7.7109375" style="15" bestFit="1" customWidth="1"/>
    <col min="30" max="30" width="10" bestFit="1" customWidth="1"/>
    <col min="31" max="31" width="7.7109375" style="15" customWidth="1"/>
    <col min="35" max="35" width="13.140625" bestFit="1" customWidth="1"/>
    <col min="36" max="36" width="8.5703125" style="167" bestFit="1" customWidth="1"/>
    <col min="37" max="37" width="12" bestFit="1" customWidth="1"/>
    <col min="38" max="38" width="8.85546875" customWidth="1"/>
  </cols>
  <sheetData>
    <row r="2" spans="1:38">
      <c r="G2" t="s">
        <v>87</v>
      </c>
    </row>
    <row r="3" spans="1:38">
      <c r="F3" t="s">
        <v>86</v>
      </c>
    </row>
    <row r="4" spans="1:38" ht="15.75" thickBot="1"/>
    <row r="5" spans="1:38" ht="15.75" thickBot="1">
      <c r="A5" s="6"/>
      <c r="B5" s="70"/>
      <c r="C5" s="75"/>
      <c r="D5" s="73"/>
      <c r="E5" s="179" t="s">
        <v>24</v>
      </c>
      <c r="F5" s="180"/>
      <c r="G5" s="180"/>
      <c r="H5" s="180"/>
      <c r="I5" s="180"/>
      <c r="J5" s="180"/>
      <c r="K5" s="180"/>
      <c r="L5" s="181"/>
      <c r="M5" s="182"/>
      <c r="N5" s="186" t="s">
        <v>42</v>
      </c>
      <c r="O5" s="187"/>
      <c r="P5" s="187"/>
      <c r="Q5" s="187"/>
      <c r="R5" s="188"/>
      <c r="S5" s="188"/>
      <c r="T5" s="188"/>
      <c r="U5" s="188"/>
      <c r="V5" s="188"/>
      <c r="W5" s="189"/>
      <c r="X5" s="189"/>
      <c r="Y5" s="190"/>
      <c r="Z5" s="191" t="s">
        <v>25</v>
      </c>
      <c r="AA5" s="191"/>
      <c r="AB5" s="191"/>
      <c r="AC5" s="191"/>
      <c r="AD5" s="191"/>
      <c r="AE5" s="192"/>
      <c r="AF5" s="183" t="s">
        <v>77</v>
      </c>
      <c r="AG5" s="184"/>
      <c r="AH5" s="184"/>
      <c r="AI5" s="185"/>
      <c r="AJ5" s="168" t="s">
        <v>97</v>
      </c>
      <c r="AK5" s="162" t="s">
        <v>74</v>
      </c>
      <c r="AL5" s="173" t="s">
        <v>97</v>
      </c>
    </row>
    <row r="6" spans="1:38" ht="15.75" thickBot="1">
      <c r="A6" s="5" t="s">
        <v>27</v>
      </c>
      <c r="B6" s="71" t="s">
        <v>23</v>
      </c>
      <c r="C6" s="85" t="s">
        <v>44</v>
      </c>
      <c r="D6" s="74" t="s">
        <v>76</v>
      </c>
      <c r="E6" s="4" t="s">
        <v>79</v>
      </c>
      <c r="F6" s="3" t="s">
        <v>80</v>
      </c>
      <c r="G6" s="3" t="s">
        <v>81</v>
      </c>
      <c r="H6" s="3" t="s">
        <v>82</v>
      </c>
      <c r="I6" s="3" t="s">
        <v>83</v>
      </c>
      <c r="J6" s="3" t="s">
        <v>84</v>
      </c>
      <c r="K6" s="3" t="s">
        <v>85</v>
      </c>
      <c r="L6" s="235" t="s">
        <v>75</v>
      </c>
      <c r="M6" s="182"/>
      <c r="N6" s="193" t="s">
        <v>71</v>
      </c>
      <c r="O6" s="194"/>
      <c r="P6" s="194"/>
      <c r="Q6" s="195"/>
      <c r="R6" s="50"/>
      <c r="S6" s="196" t="s">
        <v>66</v>
      </c>
      <c r="T6" s="197"/>
      <c r="U6" s="197"/>
      <c r="V6" s="197"/>
      <c r="W6" s="51"/>
      <c r="X6" s="204" t="s">
        <v>19</v>
      </c>
      <c r="Y6" s="205"/>
      <c r="Z6" s="200" t="s">
        <v>67</v>
      </c>
      <c r="AA6" s="201"/>
      <c r="AB6" s="202" t="s">
        <v>68</v>
      </c>
      <c r="AC6" s="203"/>
      <c r="AD6" s="198" t="s">
        <v>20</v>
      </c>
      <c r="AE6" s="199"/>
      <c r="AF6" s="69" t="s">
        <v>18</v>
      </c>
      <c r="AG6" s="46" t="s">
        <v>19</v>
      </c>
      <c r="AH6" s="47" t="s">
        <v>20</v>
      </c>
      <c r="AI6" s="48" t="s">
        <v>21</v>
      </c>
      <c r="AJ6" s="168" t="s">
        <v>96</v>
      </c>
      <c r="AK6" s="162" t="s">
        <v>78</v>
      </c>
      <c r="AL6" s="173" t="s">
        <v>44</v>
      </c>
    </row>
    <row r="7" spans="1:38" ht="15.75" thickBot="1">
      <c r="A7" s="11"/>
      <c r="B7" s="72"/>
      <c r="C7" s="76"/>
      <c r="D7" s="86"/>
      <c r="E7" s="11"/>
      <c r="F7" s="12"/>
      <c r="G7" s="12"/>
      <c r="H7" s="12"/>
      <c r="I7" s="12"/>
      <c r="J7" s="12"/>
      <c r="K7" s="12"/>
      <c r="L7" s="157" t="s">
        <v>13</v>
      </c>
      <c r="M7" s="59" t="s">
        <v>16</v>
      </c>
      <c r="N7" s="87" t="s">
        <v>14</v>
      </c>
      <c r="O7" s="88" t="s">
        <v>15</v>
      </c>
      <c r="P7" s="89" t="s">
        <v>17</v>
      </c>
      <c r="Q7" s="90" t="s">
        <v>16</v>
      </c>
      <c r="R7" s="90" t="s">
        <v>73</v>
      </c>
      <c r="S7" s="91" t="s">
        <v>14</v>
      </c>
      <c r="T7" s="91" t="s">
        <v>15</v>
      </c>
      <c r="U7" s="92" t="s">
        <v>17</v>
      </c>
      <c r="V7" s="93" t="s">
        <v>16</v>
      </c>
      <c r="W7" s="156" t="s">
        <v>73</v>
      </c>
      <c r="X7" s="158" t="s">
        <v>13</v>
      </c>
      <c r="Y7" s="159" t="s">
        <v>72</v>
      </c>
      <c r="Z7" s="60" t="s">
        <v>14</v>
      </c>
      <c r="AA7" s="61" t="s">
        <v>16</v>
      </c>
      <c r="AB7" s="62" t="s">
        <v>14</v>
      </c>
      <c r="AC7" s="68" t="s">
        <v>16</v>
      </c>
      <c r="AD7" s="160" t="s">
        <v>13</v>
      </c>
      <c r="AE7" s="161" t="s">
        <v>16</v>
      </c>
      <c r="AF7" s="94" t="s">
        <v>22</v>
      </c>
      <c r="AG7" s="95" t="s">
        <v>22</v>
      </c>
      <c r="AH7" s="96" t="s">
        <v>22</v>
      </c>
      <c r="AI7" s="97" t="s">
        <v>22</v>
      </c>
      <c r="AJ7" s="169"/>
      <c r="AK7" s="163" t="s">
        <v>22</v>
      </c>
      <c r="AL7" s="163"/>
    </row>
    <row r="8" spans="1:38" ht="15.75" thickBot="1">
      <c r="A8" s="55" t="s">
        <v>0</v>
      </c>
      <c r="B8" s="104" t="s">
        <v>26</v>
      </c>
      <c r="C8" s="227">
        <v>1</v>
      </c>
      <c r="D8" s="105" t="s">
        <v>48</v>
      </c>
      <c r="E8" s="106">
        <f>(3*299+285+266)/2</f>
        <v>724</v>
      </c>
      <c r="F8" s="107">
        <f>(299+285+285+266+238)/2</f>
        <v>686.5</v>
      </c>
      <c r="G8" s="107">
        <v>0</v>
      </c>
      <c r="H8" s="107">
        <f>(279+3*299)/2</f>
        <v>588</v>
      </c>
      <c r="I8" s="107">
        <f>(230*1.5)/2</f>
        <v>172.5</v>
      </c>
      <c r="J8" s="108">
        <f>(250+250)/2*1.3</f>
        <v>325</v>
      </c>
      <c r="K8" s="107">
        <f>298</f>
        <v>298</v>
      </c>
      <c r="L8" s="109">
        <f t="shared" ref="L8:L17" si="0">SUM(E8:K8)</f>
        <v>2794</v>
      </c>
      <c r="M8" s="110">
        <f>(L8/L9)*100</f>
        <v>82.760663507109001</v>
      </c>
      <c r="N8" s="233">
        <f>230*2</f>
        <v>460</v>
      </c>
      <c r="O8" s="212">
        <v>36.82</v>
      </c>
      <c r="P8" s="214">
        <f t="shared" ref="P8" si="1">N8/O8</f>
        <v>12.49321021184139</v>
      </c>
      <c r="Q8" s="216">
        <f>(P8/P10)*100</f>
        <v>51.548071700162957</v>
      </c>
      <c r="R8" s="111">
        <f>Q8/2</f>
        <v>25.774035850081479</v>
      </c>
      <c r="S8" s="222">
        <f>253*2</f>
        <v>506</v>
      </c>
      <c r="T8" s="225">
        <v>11.85</v>
      </c>
      <c r="U8" s="214">
        <f>S8/T8</f>
        <v>42.700421940928273</v>
      </c>
      <c r="V8" s="216">
        <v>100</v>
      </c>
      <c r="W8" s="111">
        <f>V8/2</f>
        <v>50</v>
      </c>
      <c r="X8" s="112">
        <f>W8+R8</f>
        <v>75.774035850081475</v>
      </c>
      <c r="Y8" s="113">
        <f>(X8/X16)*100</f>
        <v>91.795252758702645</v>
      </c>
      <c r="Z8" s="106">
        <f>(253+255+253)/2</f>
        <v>380.5</v>
      </c>
      <c r="AA8" s="63">
        <v>100</v>
      </c>
      <c r="AB8" s="152">
        <v>0</v>
      </c>
      <c r="AC8" s="64">
        <v>0</v>
      </c>
      <c r="AD8" s="110">
        <f>AA8+AC8</f>
        <v>100</v>
      </c>
      <c r="AE8" s="114">
        <f>(AD8/AD12)*100</f>
        <v>59.968479117415285</v>
      </c>
      <c r="AF8" s="115">
        <f>M8</f>
        <v>82.760663507109001</v>
      </c>
      <c r="AG8" s="111">
        <f>Y8</f>
        <v>91.795252758702645</v>
      </c>
      <c r="AH8" s="113">
        <f>AE8</f>
        <v>59.968479117415285</v>
      </c>
      <c r="AI8" s="110">
        <f>AF8+AG8+AH8</f>
        <v>234.52439538322693</v>
      </c>
      <c r="AJ8" s="170">
        <v>4</v>
      </c>
      <c r="AK8" s="206">
        <f>AI8+AI9</f>
        <v>486.28812725934483</v>
      </c>
      <c r="AL8" s="236">
        <v>1</v>
      </c>
    </row>
    <row r="9" spans="1:38" ht="15.75" thickBot="1">
      <c r="A9" s="33" t="s">
        <v>1</v>
      </c>
      <c r="B9" s="116" t="s">
        <v>45</v>
      </c>
      <c r="C9" s="228"/>
      <c r="D9" s="117" t="s">
        <v>49</v>
      </c>
      <c r="E9" s="118">
        <f>(3*299+285+266)/2</f>
        <v>724</v>
      </c>
      <c r="F9" s="119">
        <f>F8</f>
        <v>686.5</v>
      </c>
      <c r="G9" s="119">
        <v>0</v>
      </c>
      <c r="H9" s="119">
        <f>(279+3*299)/2</f>
        <v>588</v>
      </c>
      <c r="I9" s="119">
        <f>(230*1.5)/2</f>
        <v>172.5</v>
      </c>
      <c r="J9" s="120">
        <f>J8</f>
        <v>325</v>
      </c>
      <c r="K9" s="119">
        <f>288+294+298</f>
        <v>880</v>
      </c>
      <c r="L9" s="121">
        <f t="shared" si="0"/>
        <v>3376</v>
      </c>
      <c r="M9" s="122">
        <v>100</v>
      </c>
      <c r="N9" s="234"/>
      <c r="O9" s="213"/>
      <c r="P9" s="215"/>
      <c r="Q9" s="217"/>
      <c r="R9" s="41">
        <f>R8</f>
        <v>25.774035850081479</v>
      </c>
      <c r="S9" s="223"/>
      <c r="T9" s="213"/>
      <c r="U9" s="215"/>
      <c r="V9" s="217"/>
      <c r="W9" s="41">
        <f>W8</f>
        <v>50</v>
      </c>
      <c r="X9" s="123">
        <f t="shared" ref="X9:X17" si="2">W9+R9</f>
        <v>75.774035850081475</v>
      </c>
      <c r="Y9" s="58">
        <f>Y8</f>
        <v>91.795252758702645</v>
      </c>
      <c r="Z9" s="118">
        <f>Z8</f>
        <v>380.5</v>
      </c>
      <c r="AA9" s="35">
        <f>AA8</f>
        <v>100</v>
      </c>
      <c r="AB9" s="153">
        <v>0</v>
      </c>
      <c r="AC9" s="67">
        <v>0</v>
      </c>
      <c r="AD9" s="124">
        <f t="shared" ref="AD9:AD17" si="3">AA9+AC9</f>
        <v>100</v>
      </c>
      <c r="AE9" s="39">
        <f>(AD9/AD12)*100</f>
        <v>59.968479117415285</v>
      </c>
      <c r="AF9" s="57">
        <f t="shared" ref="AF8:AF17" si="4">M9</f>
        <v>100</v>
      </c>
      <c r="AG9" s="111">
        <f t="shared" ref="AG9:AG17" si="5">Y9</f>
        <v>91.795252758702645</v>
      </c>
      <c r="AH9" s="58">
        <f t="shared" ref="AH8:AH17" si="6">AE9</f>
        <v>59.968479117415285</v>
      </c>
      <c r="AI9" s="56">
        <f t="shared" ref="AI8:AI17" si="7">AF9+AG9+AH9</f>
        <v>251.76373187611793</v>
      </c>
      <c r="AJ9" s="176">
        <v>2</v>
      </c>
      <c r="AK9" s="207"/>
      <c r="AL9" s="237"/>
    </row>
    <row r="10" spans="1:38" ht="15.75" thickBot="1">
      <c r="A10" s="42" t="s">
        <v>2</v>
      </c>
      <c r="B10" t="s">
        <v>10</v>
      </c>
      <c r="C10" s="229">
        <v>2</v>
      </c>
      <c r="D10" s="98" t="s">
        <v>48</v>
      </c>
      <c r="E10" s="99">
        <f>(2*266+238)/2</f>
        <v>385</v>
      </c>
      <c r="F10" s="100">
        <f>(2*285+266)/2</f>
        <v>418</v>
      </c>
      <c r="G10" s="100">
        <f>264+280+2*287</f>
        <v>1118</v>
      </c>
      <c r="H10" s="101">
        <f>299/2</f>
        <v>149.5</v>
      </c>
      <c r="I10" s="100">
        <f>((2*230)/2)*1.5</f>
        <v>345</v>
      </c>
      <c r="J10" s="101">
        <v>0</v>
      </c>
      <c r="K10" s="100">
        <f>298+288</f>
        <v>586</v>
      </c>
      <c r="L10" s="102">
        <f t="shared" si="0"/>
        <v>3001.5</v>
      </c>
      <c r="M10" s="44">
        <f>(L10/L9)*100</f>
        <v>88.906990521327018</v>
      </c>
      <c r="N10" s="233">
        <f>N8</f>
        <v>460</v>
      </c>
      <c r="O10" s="220">
        <v>18.98</v>
      </c>
      <c r="P10" s="219">
        <f>N10/O10</f>
        <v>24.236037934668072</v>
      </c>
      <c r="Q10" s="218">
        <v>100</v>
      </c>
      <c r="R10" s="49">
        <f>Q10/2</f>
        <v>50</v>
      </c>
      <c r="S10" s="224">
        <f>253*2</f>
        <v>506</v>
      </c>
      <c r="T10" s="226">
        <v>21.84</v>
      </c>
      <c r="U10" s="219">
        <f>S10/T10</f>
        <v>23.168498168498168</v>
      </c>
      <c r="V10" s="218">
        <f>(U10/U8)*100</f>
        <v>54.258241758241752</v>
      </c>
      <c r="W10" s="49">
        <f>V10/2</f>
        <v>27.129120879120876</v>
      </c>
      <c r="X10" s="103">
        <f t="shared" si="2"/>
        <v>77.129120879120876</v>
      </c>
      <c r="Y10" s="53">
        <f>(X10/X16)*100</f>
        <v>93.436849004101433</v>
      </c>
      <c r="Z10" s="99">
        <f>253/2</f>
        <v>126.5</v>
      </c>
      <c r="AA10" s="43">
        <f>(Z10/Z8)*100</f>
        <v>33.245729303547961</v>
      </c>
      <c r="AB10" s="154">
        <v>261</v>
      </c>
      <c r="AC10" s="66">
        <f>(AB10/AB12)*100</f>
        <v>48.066298342541437</v>
      </c>
      <c r="AD10" s="44">
        <f t="shared" si="3"/>
        <v>81.312027646089405</v>
      </c>
      <c r="AE10" s="45">
        <f>(AD10/AD12)*100</f>
        <v>48.761586318892071</v>
      </c>
      <c r="AF10" s="52">
        <f t="shared" si="4"/>
        <v>88.906990521327018</v>
      </c>
      <c r="AG10" s="111">
        <f t="shared" si="5"/>
        <v>93.436849004101433</v>
      </c>
      <c r="AH10" s="53">
        <f t="shared" si="6"/>
        <v>48.761586318892071</v>
      </c>
      <c r="AI10" s="44">
        <f t="shared" si="7"/>
        <v>231.10542584432051</v>
      </c>
      <c r="AJ10" s="172">
        <v>5</v>
      </c>
      <c r="AK10" s="208">
        <f>AI10+AI11</f>
        <v>382.91228995529042</v>
      </c>
      <c r="AL10" s="238">
        <v>4</v>
      </c>
    </row>
    <row r="11" spans="1:38" ht="15.75" thickBot="1">
      <c r="A11" s="14" t="s">
        <v>3</v>
      </c>
      <c r="B11" s="84" t="s">
        <v>46</v>
      </c>
      <c r="C11" s="229"/>
      <c r="D11" s="125" t="s">
        <v>49</v>
      </c>
      <c r="E11" s="126">
        <f>E10</f>
        <v>385</v>
      </c>
      <c r="F11" s="127">
        <f>F10</f>
        <v>418</v>
      </c>
      <c r="G11" s="127">
        <v>0</v>
      </c>
      <c r="H11" s="127">
        <f>H10</f>
        <v>149.5</v>
      </c>
      <c r="I11" s="127">
        <f>I10</f>
        <v>345</v>
      </c>
      <c r="J11" s="128">
        <v>0</v>
      </c>
      <c r="K11" s="127">
        <v>0</v>
      </c>
      <c r="L11" s="129">
        <f t="shared" si="0"/>
        <v>1297.5</v>
      </c>
      <c r="M11" s="130">
        <f>(L11/L9)*100</f>
        <v>38.433056872037916</v>
      </c>
      <c r="N11" s="234"/>
      <c r="O11" s="220"/>
      <c r="P11" s="219"/>
      <c r="Q11" s="218"/>
      <c r="R11" s="131">
        <f>R10</f>
        <v>50</v>
      </c>
      <c r="S11" s="224"/>
      <c r="T11" s="226"/>
      <c r="U11" s="219"/>
      <c r="V11" s="218"/>
      <c r="W11" s="131">
        <f>W10</f>
        <v>27.129120879120876</v>
      </c>
      <c r="X11" s="132">
        <f t="shared" si="2"/>
        <v>77.129120879120876</v>
      </c>
      <c r="Y11" s="133">
        <f>Y10</f>
        <v>93.436849004101433</v>
      </c>
      <c r="Z11" s="126">
        <f>Z10</f>
        <v>126.5</v>
      </c>
      <c r="AA11" s="34">
        <f>AA10</f>
        <v>33.245729303547961</v>
      </c>
      <c r="AB11" s="155">
        <v>0</v>
      </c>
      <c r="AC11" s="65">
        <v>0</v>
      </c>
      <c r="AD11" s="134">
        <f t="shared" si="3"/>
        <v>33.245729303547961</v>
      </c>
      <c r="AE11" s="38">
        <f>(AD11/AD12)*100</f>
        <v>19.936958234830573</v>
      </c>
      <c r="AF11" s="135">
        <f t="shared" si="4"/>
        <v>38.433056872037916</v>
      </c>
      <c r="AG11" s="111">
        <f t="shared" si="5"/>
        <v>93.436849004101433</v>
      </c>
      <c r="AH11" s="133">
        <f t="shared" si="6"/>
        <v>19.936958234830573</v>
      </c>
      <c r="AI11" s="130">
        <f t="shared" si="7"/>
        <v>151.80686411096991</v>
      </c>
      <c r="AJ11" s="172">
        <v>9</v>
      </c>
      <c r="AK11" s="209"/>
      <c r="AL11" s="238"/>
    </row>
    <row r="12" spans="1:38" ht="15.75" thickBot="1">
      <c r="A12" s="55" t="s">
        <v>4</v>
      </c>
      <c r="B12" s="138" t="s">
        <v>28</v>
      </c>
      <c r="C12" s="230">
        <v>3</v>
      </c>
      <c r="D12" s="105" t="s">
        <v>48</v>
      </c>
      <c r="E12" s="106">
        <f>(2*285+3*266)/2</f>
        <v>684</v>
      </c>
      <c r="F12" s="107">
        <f>(299+285+2*266+238)/2</f>
        <v>677</v>
      </c>
      <c r="G12" s="107">
        <f>264+2*280</f>
        <v>824</v>
      </c>
      <c r="H12" s="107">
        <f>(299+279+270)/2</f>
        <v>424</v>
      </c>
      <c r="I12" s="107">
        <v>0</v>
      </c>
      <c r="J12" s="108">
        <v>0</v>
      </c>
      <c r="K12" s="107">
        <f>294+288</f>
        <v>582</v>
      </c>
      <c r="L12" s="139">
        <f t="shared" si="0"/>
        <v>3191</v>
      </c>
      <c r="M12" s="110">
        <f>(L12/L9)*100</f>
        <v>94.520142180094794</v>
      </c>
      <c r="N12" s="233">
        <f>N8</f>
        <v>460</v>
      </c>
      <c r="O12" s="212">
        <v>24.21</v>
      </c>
      <c r="P12" s="214">
        <f>N12/O12</f>
        <v>19.000413052457663</v>
      </c>
      <c r="Q12" s="216">
        <f>(P12/P10)*100</f>
        <v>78.397356464270956</v>
      </c>
      <c r="R12" s="111">
        <f>Q12/2</f>
        <v>39.198678232135478</v>
      </c>
      <c r="S12" s="222">
        <v>0</v>
      </c>
      <c r="T12" s="225">
        <v>13.99</v>
      </c>
      <c r="U12" s="214">
        <f>S12/T12</f>
        <v>0</v>
      </c>
      <c r="V12" s="216">
        <v>0</v>
      </c>
      <c r="W12" s="111">
        <f>V12/2</f>
        <v>0</v>
      </c>
      <c r="X12" s="112">
        <f t="shared" si="2"/>
        <v>39.198678232135478</v>
      </c>
      <c r="Y12" s="113">
        <f>(X12/X16)*100</f>
        <v>47.486616434751546</v>
      </c>
      <c r="Z12" s="106">
        <f>(253+255)/2</f>
        <v>254</v>
      </c>
      <c r="AA12" s="63">
        <f>(Z12/Z8)*100</f>
        <v>66.754270696452039</v>
      </c>
      <c r="AB12" s="152">
        <f>261+282</f>
        <v>543</v>
      </c>
      <c r="AC12" s="64">
        <v>100</v>
      </c>
      <c r="AD12" s="140">
        <f t="shared" si="3"/>
        <v>166.75427069645204</v>
      </c>
      <c r="AE12" s="141">
        <v>100</v>
      </c>
      <c r="AF12" s="115">
        <f t="shared" si="4"/>
        <v>94.520142180094794</v>
      </c>
      <c r="AG12" s="111">
        <f t="shared" si="5"/>
        <v>47.486616434751546</v>
      </c>
      <c r="AH12" s="113">
        <f t="shared" si="6"/>
        <v>100</v>
      </c>
      <c r="AI12" s="110">
        <f t="shared" si="7"/>
        <v>242.00675861484635</v>
      </c>
      <c r="AJ12" s="178">
        <v>3</v>
      </c>
      <c r="AK12" s="210">
        <f>AI12+AI13</f>
        <v>452.86102299263666</v>
      </c>
      <c r="AL12" s="239">
        <v>3</v>
      </c>
    </row>
    <row r="13" spans="1:38" ht="15.75" thickBot="1">
      <c r="A13" s="33" t="s">
        <v>5</v>
      </c>
      <c r="B13" s="116" t="s">
        <v>11</v>
      </c>
      <c r="C13" s="231"/>
      <c r="D13" s="117" t="s">
        <v>49</v>
      </c>
      <c r="E13" s="142">
        <f>E12</f>
        <v>684</v>
      </c>
      <c r="F13" s="119">
        <f>F12</f>
        <v>677</v>
      </c>
      <c r="G13" s="119">
        <v>0</v>
      </c>
      <c r="H13" s="119">
        <f>H12</f>
        <v>424</v>
      </c>
      <c r="I13" s="119">
        <v>0</v>
      </c>
      <c r="J13" s="120">
        <v>0</v>
      </c>
      <c r="K13" s="119">
        <f>298+294+288</f>
        <v>880</v>
      </c>
      <c r="L13" s="143">
        <f t="shared" si="0"/>
        <v>2665</v>
      </c>
      <c r="M13" s="56">
        <f>(L13/L9)*100</f>
        <v>78.939573459715646</v>
      </c>
      <c r="N13" s="234"/>
      <c r="O13" s="221"/>
      <c r="P13" s="215"/>
      <c r="Q13" s="217"/>
      <c r="R13" s="144">
        <f>R12</f>
        <v>39.198678232135478</v>
      </c>
      <c r="S13" s="223"/>
      <c r="T13" s="213"/>
      <c r="U13" s="215"/>
      <c r="V13" s="217"/>
      <c r="W13" s="144">
        <f>W12</f>
        <v>0</v>
      </c>
      <c r="X13" s="123">
        <f t="shared" si="2"/>
        <v>39.198678232135478</v>
      </c>
      <c r="Y13" s="58">
        <f>Y12</f>
        <v>47.486616434751546</v>
      </c>
      <c r="Z13" s="118">
        <f>Z12</f>
        <v>254</v>
      </c>
      <c r="AA13" s="35">
        <f>AA12</f>
        <v>66.754270696452039</v>
      </c>
      <c r="AB13" s="153">
        <f>261+(282/2)</f>
        <v>402</v>
      </c>
      <c r="AC13" s="67">
        <f>(AB13/AB12)*100</f>
        <v>74.033149171270722</v>
      </c>
      <c r="AD13" s="124">
        <f t="shared" si="3"/>
        <v>140.78741986772275</v>
      </c>
      <c r="AE13" s="39">
        <f>(AD13/AD12)*100</f>
        <v>84.428074483323101</v>
      </c>
      <c r="AF13" s="57">
        <f t="shared" si="4"/>
        <v>78.939573459715646</v>
      </c>
      <c r="AG13" s="111">
        <f t="shared" si="5"/>
        <v>47.486616434751546</v>
      </c>
      <c r="AH13" s="58">
        <f t="shared" si="6"/>
        <v>84.428074483323101</v>
      </c>
      <c r="AI13" s="56">
        <f t="shared" si="7"/>
        <v>210.85426437779029</v>
      </c>
      <c r="AJ13" s="171">
        <v>7</v>
      </c>
      <c r="AK13" s="211"/>
      <c r="AL13" s="240"/>
    </row>
    <row r="14" spans="1:38" ht="15.75" thickBot="1">
      <c r="A14" s="42" t="s">
        <v>6</v>
      </c>
      <c r="B14" s="136" t="s">
        <v>12</v>
      </c>
      <c r="C14" s="232">
        <v>4</v>
      </c>
      <c r="D14" s="98" t="s">
        <v>48</v>
      </c>
      <c r="E14" s="99">
        <f>(299+285+3*238)/2</f>
        <v>649</v>
      </c>
      <c r="F14" s="100">
        <f>(238+2*266+2*285)/2</f>
        <v>670</v>
      </c>
      <c r="G14" s="100">
        <v>0</v>
      </c>
      <c r="H14" s="100">
        <f>(299+275+279)/2</f>
        <v>426.5</v>
      </c>
      <c r="I14" s="100">
        <v>0</v>
      </c>
      <c r="J14" s="101">
        <f>(250*1.3)/2</f>
        <v>162.5</v>
      </c>
      <c r="K14" s="100">
        <f>288+298</f>
        <v>586</v>
      </c>
      <c r="L14" s="137">
        <f t="shared" si="0"/>
        <v>2494</v>
      </c>
      <c r="M14" s="44">
        <f>(L14/L9)*100</f>
        <v>73.874407582938389</v>
      </c>
      <c r="N14" s="233">
        <f>N8</f>
        <v>460</v>
      </c>
      <c r="O14" s="220">
        <v>30.27</v>
      </c>
      <c r="P14" s="219">
        <f>N14/O14</f>
        <v>15.196564255037991</v>
      </c>
      <c r="Q14" s="218">
        <f>(P14/P10)*100</f>
        <v>62.702345556656759</v>
      </c>
      <c r="R14" s="49">
        <f>Q14/2</f>
        <v>31.35117277832838</v>
      </c>
      <c r="S14" s="224">
        <v>0</v>
      </c>
      <c r="T14" s="226">
        <v>8.41</v>
      </c>
      <c r="U14" s="219">
        <v>0</v>
      </c>
      <c r="V14" s="218">
        <v>0</v>
      </c>
      <c r="W14" s="49">
        <f>V14/2</f>
        <v>0</v>
      </c>
      <c r="X14" s="103">
        <f t="shared" si="2"/>
        <v>31.35117277832838</v>
      </c>
      <c r="Y14" s="53">
        <f>(X14/X16)*100</f>
        <v>37.979880538002483</v>
      </c>
      <c r="Z14" s="99">
        <f>(253+253)/2</f>
        <v>253</v>
      </c>
      <c r="AA14" s="43">
        <f>(Z14/Z8)*100</f>
        <v>66.491458607095922</v>
      </c>
      <c r="AB14" s="154">
        <v>0</v>
      </c>
      <c r="AC14" s="66">
        <v>0</v>
      </c>
      <c r="AD14" s="44">
        <f t="shared" si="3"/>
        <v>66.491458607095922</v>
      </c>
      <c r="AE14" s="45">
        <f>(AD14/AD12)*100</f>
        <v>39.873916469661147</v>
      </c>
      <c r="AF14" s="52">
        <f t="shared" si="4"/>
        <v>73.874407582938389</v>
      </c>
      <c r="AG14" s="111">
        <f t="shared" si="5"/>
        <v>37.979880538002483</v>
      </c>
      <c r="AH14" s="53">
        <f t="shared" si="6"/>
        <v>39.873916469661147</v>
      </c>
      <c r="AI14" s="44">
        <f t="shared" si="7"/>
        <v>151.72820459060202</v>
      </c>
      <c r="AJ14" s="172">
        <v>10</v>
      </c>
      <c r="AK14" s="208">
        <f>AI14+AI15</f>
        <v>312.16493998689123</v>
      </c>
      <c r="AL14" s="238">
        <v>5</v>
      </c>
    </row>
    <row r="15" spans="1:38" ht="15.75" thickBot="1">
      <c r="A15" s="14" t="s">
        <v>7</v>
      </c>
      <c r="B15" s="84" t="s">
        <v>43</v>
      </c>
      <c r="C15" s="232"/>
      <c r="D15" s="125" t="s">
        <v>49</v>
      </c>
      <c r="E15" s="126">
        <f>E14</f>
        <v>649</v>
      </c>
      <c r="F15" s="127">
        <f>F14</f>
        <v>670</v>
      </c>
      <c r="G15" s="127">
        <v>0</v>
      </c>
      <c r="H15" s="127">
        <f>H14</f>
        <v>426.5</v>
      </c>
      <c r="I15" s="127">
        <v>0</v>
      </c>
      <c r="J15" s="128">
        <f>J14</f>
        <v>162.5</v>
      </c>
      <c r="K15" s="127">
        <f>288+294+298</f>
        <v>880</v>
      </c>
      <c r="L15" s="129">
        <f t="shared" si="0"/>
        <v>2788</v>
      </c>
      <c r="M15" s="130">
        <f>(L15/L9)*100</f>
        <v>82.582938388625593</v>
      </c>
      <c r="N15" s="234"/>
      <c r="O15" s="220"/>
      <c r="P15" s="219"/>
      <c r="Q15" s="218"/>
      <c r="R15" s="40">
        <f>R14</f>
        <v>31.35117277832838</v>
      </c>
      <c r="S15" s="224"/>
      <c r="T15" s="226"/>
      <c r="U15" s="219"/>
      <c r="V15" s="218"/>
      <c r="W15" s="40">
        <f>W14</f>
        <v>0</v>
      </c>
      <c r="X15" s="132">
        <f t="shared" si="2"/>
        <v>31.35117277832838</v>
      </c>
      <c r="Y15" s="133">
        <f>Y14</f>
        <v>37.979880538002483</v>
      </c>
      <c r="Z15" s="126">
        <f>Z14</f>
        <v>253</v>
      </c>
      <c r="AA15" s="34">
        <f>AA14</f>
        <v>66.491458607095922</v>
      </c>
      <c r="AB15" s="155">
        <v>0</v>
      </c>
      <c r="AC15" s="65">
        <v>0</v>
      </c>
      <c r="AD15" s="134">
        <f t="shared" si="3"/>
        <v>66.491458607095922</v>
      </c>
      <c r="AE15" s="38">
        <f>(AD15/AD12)*100</f>
        <v>39.873916469661147</v>
      </c>
      <c r="AF15" s="135">
        <f t="shared" si="4"/>
        <v>82.582938388625593</v>
      </c>
      <c r="AG15" s="111">
        <f t="shared" si="5"/>
        <v>37.979880538002483</v>
      </c>
      <c r="AH15" s="133">
        <f t="shared" si="6"/>
        <v>39.873916469661147</v>
      </c>
      <c r="AI15" s="130">
        <f>AF15+AG15+AH15</f>
        <v>160.43673539628921</v>
      </c>
      <c r="AJ15" s="172">
        <v>8</v>
      </c>
      <c r="AK15" s="209"/>
      <c r="AL15" s="238"/>
    </row>
    <row r="16" spans="1:38" ht="15.75" thickBot="1">
      <c r="A16" s="55" t="s">
        <v>8</v>
      </c>
      <c r="B16" s="138" t="s">
        <v>10</v>
      </c>
      <c r="C16" s="230">
        <v>5</v>
      </c>
      <c r="D16" s="105" t="s">
        <v>48</v>
      </c>
      <c r="E16" s="106">
        <f>(2*299+285+2*266)/2</f>
        <v>707.5</v>
      </c>
      <c r="F16" s="107">
        <f>(2*285+3*266)/2</f>
        <v>684</v>
      </c>
      <c r="G16" s="107">
        <v>0</v>
      </c>
      <c r="H16" s="107">
        <f>(299+299+275+279)/2</f>
        <v>576</v>
      </c>
      <c r="I16" s="107">
        <f>(230*1.5)/2</f>
        <v>172.5</v>
      </c>
      <c r="J16" s="145">
        <v>-364</v>
      </c>
      <c r="K16" s="107">
        <f>288</f>
        <v>288</v>
      </c>
      <c r="L16" s="139">
        <f t="shared" si="0"/>
        <v>2064</v>
      </c>
      <c r="M16" s="110">
        <f>(L16/L9)*100</f>
        <v>61.137440758293835</v>
      </c>
      <c r="N16" s="233">
        <f>N8</f>
        <v>460</v>
      </c>
      <c r="O16" s="212">
        <v>22.1</v>
      </c>
      <c r="P16" s="214">
        <f>N16/O16</f>
        <v>20.814479638009047</v>
      </c>
      <c r="Q16" s="216">
        <f>(P16/P10)*100</f>
        <v>85.88235294117645</v>
      </c>
      <c r="R16" s="111">
        <f>Q16/2</f>
        <v>42.941176470588225</v>
      </c>
      <c r="S16" s="222">
        <f>253*2</f>
        <v>506</v>
      </c>
      <c r="T16" s="225">
        <v>14.96</v>
      </c>
      <c r="U16" s="214">
        <f>S16/T16</f>
        <v>33.823529411764703</v>
      </c>
      <c r="V16" s="216">
        <f>(U16/U8)*100</f>
        <v>79.211229946524057</v>
      </c>
      <c r="W16" s="111">
        <f>V16/2</f>
        <v>39.605614973262028</v>
      </c>
      <c r="X16" s="146">
        <f t="shared" si="2"/>
        <v>82.546791443850253</v>
      </c>
      <c r="Y16" s="147">
        <v>100</v>
      </c>
      <c r="Z16" s="106">
        <f>(253+255)/2</f>
        <v>254</v>
      </c>
      <c r="AA16" s="63">
        <f>(Z16/Z8)*100</f>
        <v>66.754270696452039</v>
      </c>
      <c r="AB16" s="152">
        <f>261/2</f>
        <v>130.5</v>
      </c>
      <c r="AC16" s="64">
        <f>(AB16/AB12)*100</f>
        <v>24.033149171270718</v>
      </c>
      <c r="AD16" s="110">
        <f t="shared" si="3"/>
        <v>90.787419867722761</v>
      </c>
      <c r="AE16" s="148">
        <f>(AD16/AD12)*100</f>
        <v>54.443834924615466</v>
      </c>
      <c r="AF16" s="115">
        <f t="shared" si="4"/>
        <v>61.137440758293835</v>
      </c>
      <c r="AG16" s="111">
        <f t="shared" si="5"/>
        <v>100</v>
      </c>
      <c r="AH16" s="113">
        <f t="shared" si="6"/>
        <v>54.443834924615466</v>
      </c>
      <c r="AI16" s="110">
        <f t="shared" si="7"/>
        <v>215.58127568290931</v>
      </c>
      <c r="AJ16" s="170">
        <v>6</v>
      </c>
      <c r="AK16" s="210">
        <f>AI16+AI17</f>
        <v>478.86870427040856</v>
      </c>
      <c r="AL16" s="239">
        <v>2</v>
      </c>
    </row>
    <row r="17" spans="1:38" ht="15.75" thickBot="1">
      <c r="A17" s="33" t="s">
        <v>9</v>
      </c>
      <c r="B17" s="116" t="s">
        <v>47</v>
      </c>
      <c r="C17" s="231"/>
      <c r="D17" s="117" t="s">
        <v>49</v>
      </c>
      <c r="E17" s="118">
        <f>E16</f>
        <v>707.5</v>
      </c>
      <c r="F17" s="119">
        <f>F16</f>
        <v>684</v>
      </c>
      <c r="G17" s="119">
        <f>264+280+2*287</f>
        <v>1118</v>
      </c>
      <c r="H17" s="119">
        <f>H16</f>
        <v>576</v>
      </c>
      <c r="I17" s="119">
        <f>I16</f>
        <v>172.5</v>
      </c>
      <c r="J17" s="149">
        <f>J16</f>
        <v>-364</v>
      </c>
      <c r="K17" s="119">
        <v>294</v>
      </c>
      <c r="L17" s="150">
        <f t="shared" si="0"/>
        <v>3188</v>
      </c>
      <c r="M17" s="56">
        <f>(L17/L9)*100</f>
        <v>94.431279620853076</v>
      </c>
      <c r="N17" s="234"/>
      <c r="O17" s="221"/>
      <c r="P17" s="215"/>
      <c r="Q17" s="217"/>
      <c r="R17" s="41">
        <f>R16</f>
        <v>42.941176470588225</v>
      </c>
      <c r="S17" s="223"/>
      <c r="T17" s="213"/>
      <c r="U17" s="215"/>
      <c r="V17" s="217"/>
      <c r="W17" s="41">
        <f>W16</f>
        <v>39.605614973262028</v>
      </c>
      <c r="X17" s="82">
        <f t="shared" si="2"/>
        <v>82.546791443850253</v>
      </c>
      <c r="Y17" s="83">
        <f>Y16</f>
        <v>100</v>
      </c>
      <c r="Z17" s="118">
        <f>Z16</f>
        <v>254</v>
      </c>
      <c r="AA17" s="35">
        <f>AA16</f>
        <v>66.754270696452039</v>
      </c>
      <c r="AB17" s="153">
        <v>261</v>
      </c>
      <c r="AC17" s="67">
        <f>(AB17/AB12)*100</f>
        <v>48.066298342541437</v>
      </c>
      <c r="AD17" s="124">
        <f t="shared" si="3"/>
        <v>114.82056903899348</v>
      </c>
      <c r="AE17" s="39">
        <f>(AD17/AD12)*100</f>
        <v>68.856148966646217</v>
      </c>
      <c r="AF17" s="57">
        <f t="shared" si="4"/>
        <v>94.431279620853076</v>
      </c>
      <c r="AG17" s="241">
        <f t="shared" si="5"/>
        <v>100</v>
      </c>
      <c r="AH17" s="58">
        <f t="shared" si="6"/>
        <v>68.856148966646217</v>
      </c>
      <c r="AI17" s="151">
        <f>AF17+AG17+AH17</f>
        <v>263.28742858749928</v>
      </c>
      <c r="AJ17" s="177">
        <v>1</v>
      </c>
      <c r="AK17" s="211"/>
      <c r="AL17" s="240"/>
    </row>
    <row r="18" spans="1:38">
      <c r="A18" s="17"/>
      <c r="B18" s="17"/>
      <c r="C18"/>
      <c r="D18"/>
      <c r="M18"/>
      <c r="O18"/>
      <c r="P18"/>
      <c r="Q18"/>
      <c r="R18"/>
      <c r="U18"/>
      <c r="V18"/>
      <c r="W18"/>
      <c r="X18"/>
      <c r="Y18"/>
      <c r="AA18"/>
      <c r="AC18"/>
      <c r="AE18"/>
    </row>
    <row r="19" spans="1:38">
      <c r="A19" s="17"/>
      <c r="B19" s="17"/>
      <c r="C19"/>
      <c r="D19"/>
      <c r="M19"/>
      <c r="O19"/>
      <c r="P19"/>
      <c r="Q19"/>
      <c r="R19"/>
      <c r="U19"/>
      <c r="V19"/>
      <c r="W19"/>
      <c r="X19"/>
      <c r="Y19"/>
      <c r="AA19"/>
      <c r="AC19"/>
      <c r="AE19"/>
    </row>
    <row r="20" spans="1:38">
      <c r="A20" s="17"/>
      <c r="B20" s="17"/>
      <c r="C20" s="17"/>
      <c r="D20" s="17"/>
      <c r="E20" s="17"/>
      <c r="M20"/>
      <c r="O20"/>
      <c r="P20"/>
      <c r="Q20"/>
      <c r="R20"/>
      <c r="U20"/>
      <c r="V20"/>
      <c r="W20"/>
      <c r="X20"/>
      <c r="Y20"/>
      <c r="AA20"/>
      <c r="AC20"/>
      <c r="AE20"/>
    </row>
    <row r="21" spans="1:38">
      <c r="A21" s="17"/>
      <c r="B21" s="174"/>
      <c r="C21" s="16"/>
      <c r="D21" s="16"/>
      <c r="E21" s="17"/>
      <c r="M21"/>
      <c r="O21"/>
      <c r="P21"/>
      <c r="Q21"/>
      <c r="R21"/>
      <c r="U21"/>
      <c r="V21"/>
      <c r="W21"/>
      <c r="X21"/>
      <c r="Y21"/>
      <c r="AA21"/>
      <c r="AC21"/>
      <c r="AE21"/>
    </row>
    <row r="22" spans="1:38">
      <c r="A22" s="17"/>
      <c r="B22" s="17"/>
      <c r="C22" s="16"/>
      <c r="D22" s="16"/>
      <c r="E22" s="17"/>
      <c r="M22"/>
      <c r="O22"/>
      <c r="P22"/>
      <c r="Q22"/>
      <c r="R22"/>
      <c r="U22"/>
      <c r="V22"/>
      <c r="W22"/>
      <c r="X22"/>
      <c r="Y22"/>
      <c r="AA22"/>
      <c r="AC22"/>
      <c r="AE22"/>
    </row>
    <row r="23" spans="1:38">
      <c r="A23" s="17"/>
      <c r="B23" s="17"/>
      <c r="C23" s="16"/>
      <c r="D23" s="16"/>
      <c r="E23" s="17"/>
      <c r="M23"/>
      <c r="O23"/>
      <c r="P23"/>
      <c r="Q23"/>
      <c r="R23"/>
      <c r="U23"/>
      <c r="V23"/>
      <c r="W23"/>
      <c r="X23"/>
      <c r="Y23"/>
      <c r="AA23"/>
      <c r="AC23"/>
      <c r="AE23"/>
    </row>
    <row r="24" spans="1:38">
      <c r="A24" s="17"/>
      <c r="B24" s="17"/>
      <c r="C24" s="16"/>
      <c r="D24" s="16"/>
      <c r="E24" s="17"/>
      <c r="M24"/>
      <c r="O24"/>
      <c r="P24"/>
      <c r="Q24"/>
      <c r="R24"/>
      <c r="U24"/>
      <c r="V24"/>
      <c r="W24"/>
      <c r="X24"/>
      <c r="Y24"/>
      <c r="AA24"/>
      <c r="AC24"/>
      <c r="AE24"/>
    </row>
    <row r="25" spans="1:38">
      <c r="A25" s="17"/>
      <c r="B25" s="17"/>
      <c r="C25" s="16"/>
      <c r="D25" s="16"/>
      <c r="E25" s="17"/>
      <c r="M25"/>
      <c r="O25"/>
      <c r="P25"/>
      <c r="Q25"/>
      <c r="R25"/>
      <c r="U25"/>
      <c r="V25"/>
      <c r="W25"/>
      <c r="X25"/>
      <c r="Y25"/>
      <c r="AA25"/>
      <c r="AC25"/>
      <c r="AE25"/>
    </row>
    <row r="26" spans="1:38">
      <c r="A26" s="8"/>
      <c r="B26" s="17"/>
      <c r="C26" s="16"/>
      <c r="D26" s="16"/>
      <c r="E26" s="8"/>
      <c r="F26" s="8"/>
      <c r="G26" s="8"/>
      <c r="H26" s="8"/>
      <c r="I26" s="8"/>
      <c r="J26" s="8"/>
      <c r="K26" s="8"/>
      <c r="L26" s="8"/>
      <c r="M26" s="16"/>
      <c r="N26" s="8"/>
      <c r="O26" s="54"/>
      <c r="P26" s="9"/>
      <c r="Q26" s="16"/>
      <c r="R26" s="16"/>
      <c r="S26" s="8"/>
      <c r="T26" s="8"/>
      <c r="AK26" s="17"/>
      <c r="AL26" s="17"/>
    </row>
    <row r="27" spans="1:38">
      <c r="A27" s="8"/>
      <c r="B27" s="17"/>
      <c r="C27" s="16"/>
      <c r="D27" s="16"/>
      <c r="E27" s="8"/>
      <c r="F27" s="8"/>
      <c r="G27" s="8"/>
      <c r="H27" s="8"/>
      <c r="I27" s="8"/>
      <c r="J27" s="8"/>
      <c r="K27" s="8"/>
      <c r="L27" s="8"/>
      <c r="M27" s="16"/>
      <c r="N27" s="8"/>
      <c r="O27" s="54"/>
      <c r="P27" s="9"/>
      <c r="Q27" s="16"/>
      <c r="R27" s="16"/>
      <c r="S27" s="8"/>
      <c r="T27" s="8"/>
    </row>
    <row r="28" spans="1:38">
      <c r="A28" s="8"/>
      <c r="B28" s="17"/>
      <c r="C28" s="16"/>
      <c r="D28" s="16"/>
      <c r="E28" s="8"/>
      <c r="F28" s="8"/>
      <c r="G28" s="8"/>
      <c r="H28" s="8"/>
      <c r="I28" s="8"/>
      <c r="J28" s="8"/>
      <c r="K28" s="8"/>
      <c r="L28" s="8"/>
      <c r="M28" s="16"/>
      <c r="N28" s="8"/>
      <c r="O28" s="54"/>
      <c r="P28" s="9"/>
      <c r="Q28" s="16"/>
      <c r="R28" s="16"/>
      <c r="S28" s="8"/>
      <c r="T28" s="8"/>
    </row>
    <row r="29" spans="1:38">
      <c r="A29" s="8"/>
      <c r="B29" s="17"/>
      <c r="C29" s="16"/>
      <c r="D29" s="16"/>
      <c r="E29" s="8"/>
      <c r="F29" s="8"/>
      <c r="G29" s="8"/>
      <c r="H29" s="8"/>
      <c r="I29" s="8"/>
      <c r="J29" s="8"/>
      <c r="K29" s="8"/>
      <c r="L29" s="8"/>
      <c r="M29" s="16"/>
      <c r="N29" s="8"/>
      <c r="O29" s="54"/>
      <c r="P29" s="9"/>
      <c r="Q29" s="16"/>
      <c r="R29" s="16"/>
      <c r="S29" s="8"/>
      <c r="T29" s="8"/>
    </row>
    <row r="30" spans="1:38">
      <c r="A30" s="8"/>
      <c r="B30" s="17"/>
      <c r="C30" s="175"/>
      <c r="D30" s="175"/>
      <c r="E30" s="8"/>
      <c r="F30" s="8"/>
      <c r="G30" s="8"/>
      <c r="H30" s="8"/>
      <c r="I30" s="8"/>
      <c r="J30" s="8"/>
      <c r="K30" s="8"/>
      <c r="L30" s="8"/>
      <c r="M30" s="16"/>
      <c r="N30" s="8"/>
      <c r="O30" s="54"/>
      <c r="P30" s="9"/>
      <c r="Q30" s="16"/>
      <c r="R30" s="16"/>
      <c r="S30" s="8"/>
      <c r="T30" s="8"/>
    </row>
    <row r="31" spans="1:38">
      <c r="A31" s="8"/>
      <c r="B31" s="8"/>
      <c r="C31" s="78"/>
      <c r="D31" s="37"/>
      <c r="E31" s="8"/>
      <c r="F31" s="8"/>
      <c r="G31" s="8"/>
      <c r="H31" s="8"/>
      <c r="I31" s="8"/>
      <c r="J31" s="8"/>
      <c r="K31" s="8"/>
      <c r="L31" s="8"/>
      <c r="M31" s="16"/>
      <c r="N31" s="8"/>
      <c r="O31" s="54"/>
      <c r="P31" s="9"/>
      <c r="Q31" s="16"/>
      <c r="R31" s="16"/>
      <c r="S31" s="8"/>
      <c r="T31" s="8"/>
    </row>
    <row r="32" spans="1:38">
      <c r="A32" s="8"/>
      <c r="B32" s="8"/>
      <c r="C32" s="78"/>
      <c r="D32" s="37"/>
      <c r="E32" s="10"/>
      <c r="F32" s="8"/>
      <c r="G32" s="8"/>
      <c r="H32" s="8"/>
      <c r="I32" s="8"/>
      <c r="J32" s="8"/>
      <c r="K32" s="8"/>
      <c r="L32" s="8"/>
      <c r="M32" s="16"/>
      <c r="N32" s="10"/>
      <c r="O32" s="54"/>
      <c r="P32" s="9"/>
      <c r="Q32" s="16"/>
      <c r="R32" s="16"/>
      <c r="S32" s="8"/>
      <c r="T32" s="8"/>
    </row>
    <row r="33" spans="1:20">
      <c r="A33" s="8"/>
      <c r="B33" s="8"/>
      <c r="C33" s="78"/>
      <c r="D33" s="37"/>
      <c r="E33" s="8"/>
      <c r="F33" s="8"/>
      <c r="G33" s="8"/>
      <c r="H33" s="8"/>
      <c r="I33" s="8"/>
      <c r="J33" s="8"/>
      <c r="K33" s="8"/>
      <c r="L33" s="8"/>
      <c r="M33" s="16"/>
      <c r="N33" s="8"/>
      <c r="O33" s="54"/>
      <c r="P33" s="9"/>
      <c r="Q33" s="16"/>
      <c r="R33" s="16"/>
      <c r="S33" s="8"/>
      <c r="T33" s="8"/>
    </row>
    <row r="34" spans="1:20">
      <c r="A34" s="8"/>
      <c r="B34" s="8"/>
      <c r="C34" s="78"/>
      <c r="D34" s="37"/>
      <c r="E34" s="8"/>
      <c r="F34" s="8"/>
      <c r="G34" s="8"/>
      <c r="H34" s="8"/>
      <c r="I34" s="8"/>
      <c r="J34" s="8"/>
      <c r="K34" s="8"/>
      <c r="L34" s="8"/>
      <c r="M34" s="16"/>
      <c r="N34" s="8"/>
      <c r="O34" s="54"/>
      <c r="P34" s="9"/>
      <c r="Q34" s="16"/>
      <c r="R34" s="16"/>
      <c r="S34" s="8"/>
      <c r="T34" s="8"/>
    </row>
    <row r="35" spans="1:20">
      <c r="A35" s="8"/>
      <c r="B35" s="8"/>
      <c r="C35" s="78"/>
      <c r="D35" s="37"/>
      <c r="E35" s="8"/>
      <c r="F35" s="8"/>
      <c r="G35" s="8"/>
      <c r="H35" s="8"/>
      <c r="I35" s="8"/>
      <c r="J35" s="8"/>
      <c r="K35" s="8"/>
      <c r="L35" s="8"/>
      <c r="M35" s="16"/>
      <c r="N35" s="8"/>
      <c r="O35" s="54"/>
      <c r="P35" s="9"/>
      <c r="Q35" s="16"/>
      <c r="R35" s="16"/>
      <c r="S35" s="8"/>
      <c r="T35" s="8"/>
    </row>
    <row r="36" spans="1:20">
      <c r="A36" s="8"/>
      <c r="B36" s="8"/>
      <c r="C36" s="78"/>
      <c r="D36" s="37"/>
      <c r="E36" s="8"/>
      <c r="F36" s="8"/>
      <c r="G36" s="8"/>
      <c r="H36" s="8"/>
      <c r="I36" s="8"/>
      <c r="J36" s="8"/>
      <c r="K36" s="8"/>
      <c r="L36" s="8"/>
      <c r="M36" s="16"/>
      <c r="N36" s="8"/>
      <c r="O36" s="54"/>
      <c r="P36" s="9"/>
      <c r="Q36" s="16"/>
      <c r="R36" s="16"/>
      <c r="S36" s="8"/>
      <c r="T36" s="8"/>
    </row>
  </sheetData>
  <mergeCells count="66">
    <mergeCell ref="AL8:AL9"/>
    <mergeCell ref="AL10:AL11"/>
    <mergeCell ref="AL12:AL13"/>
    <mergeCell ref="AL14:AL15"/>
    <mergeCell ref="AL16:AL17"/>
    <mergeCell ref="N8:N9"/>
    <mergeCell ref="N10:N11"/>
    <mergeCell ref="N12:N13"/>
    <mergeCell ref="N14:N15"/>
    <mergeCell ref="L6:M6"/>
    <mergeCell ref="U14:U15"/>
    <mergeCell ref="V14:V15"/>
    <mergeCell ref="U16:U17"/>
    <mergeCell ref="V16:V17"/>
    <mergeCell ref="C8:C9"/>
    <mergeCell ref="C10:C11"/>
    <mergeCell ref="C12:C13"/>
    <mergeCell ref="C14:C15"/>
    <mergeCell ref="C16:C17"/>
    <mergeCell ref="N16:N17"/>
    <mergeCell ref="U8:U9"/>
    <mergeCell ref="V8:V9"/>
    <mergeCell ref="U10:U11"/>
    <mergeCell ref="V10:V11"/>
    <mergeCell ref="U12:U13"/>
    <mergeCell ref="V12:V13"/>
    <mergeCell ref="T8:T9"/>
    <mergeCell ref="T10:T11"/>
    <mergeCell ref="T12:T13"/>
    <mergeCell ref="T14:T15"/>
    <mergeCell ref="T16:T17"/>
    <mergeCell ref="S8:S9"/>
    <mergeCell ref="S10:S11"/>
    <mergeCell ref="S12:S13"/>
    <mergeCell ref="S14:S15"/>
    <mergeCell ref="S16:S17"/>
    <mergeCell ref="O12:O13"/>
    <mergeCell ref="P12:P13"/>
    <mergeCell ref="Q12:Q13"/>
    <mergeCell ref="O14:O15"/>
    <mergeCell ref="O16:O17"/>
    <mergeCell ref="P14:P15"/>
    <mergeCell ref="P16:P17"/>
    <mergeCell ref="Q14:Q15"/>
    <mergeCell ref="Q16:Q17"/>
    <mergeCell ref="O8:O9"/>
    <mergeCell ref="P8:P9"/>
    <mergeCell ref="Q8:Q9"/>
    <mergeCell ref="Q10:Q11"/>
    <mergeCell ref="P10:P11"/>
    <mergeCell ref="O10:O11"/>
    <mergeCell ref="AK8:AK9"/>
    <mergeCell ref="AK10:AK11"/>
    <mergeCell ref="AK12:AK13"/>
    <mergeCell ref="AK14:AK15"/>
    <mergeCell ref="AK16:AK17"/>
    <mergeCell ref="E5:M5"/>
    <mergeCell ref="AF5:AI5"/>
    <mergeCell ref="N5:Y5"/>
    <mergeCell ref="Z5:AE5"/>
    <mergeCell ref="N6:Q6"/>
    <mergeCell ref="S6:V6"/>
    <mergeCell ref="AD6:AE6"/>
    <mergeCell ref="Z6:AA6"/>
    <mergeCell ref="AB6:AC6"/>
    <mergeCell ref="X6:Y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3"/>
  <sheetViews>
    <sheetView zoomScale="110" zoomScaleNormal="110" workbookViewId="0">
      <selection activeCell="M48" sqref="M48"/>
    </sheetView>
  </sheetViews>
  <sheetFormatPr defaultRowHeight="15"/>
  <cols>
    <col min="1" max="1" width="2.5703125" customWidth="1"/>
    <col min="3" max="3" width="5.28515625" bestFit="1" customWidth="1"/>
    <col min="4" max="4" width="14.28515625" bestFit="1" customWidth="1"/>
    <col min="5" max="5" width="11.7109375" bestFit="1" customWidth="1"/>
    <col min="6" max="6" width="11.28515625" bestFit="1" customWidth="1"/>
    <col min="7" max="7" width="15" bestFit="1" customWidth="1"/>
    <col min="8" max="8" width="6.42578125" style="2" bestFit="1" customWidth="1"/>
    <col min="9" max="9" width="16.28515625" style="23" bestFit="1" customWidth="1"/>
    <col min="10" max="10" width="7.28515625" bestFit="1" customWidth="1"/>
    <col min="11" max="12" width="2.85546875" customWidth="1"/>
    <col min="13" max="13" width="9.140625" style="20"/>
    <col min="14" max="14" width="9.140625" style="18"/>
  </cols>
  <sheetData>
    <row r="5" spans="2:14">
      <c r="B5" s="1" t="s">
        <v>29</v>
      </c>
      <c r="C5" s="1" t="s">
        <v>34</v>
      </c>
      <c r="D5" s="1" t="s">
        <v>36</v>
      </c>
      <c r="E5" s="1" t="s">
        <v>33</v>
      </c>
      <c r="F5" s="1" t="s">
        <v>30</v>
      </c>
      <c r="G5" s="1" t="s">
        <v>31</v>
      </c>
      <c r="H5" s="13" t="s">
        <v>32</v>
      </c>
      <c r="I5" s="24" t="s">
        <v>35</v>
      </c>
      <c r="J5" s="1" t="s">
        <v>40</v>
      </c>
      <c r="M5" s="21">
        <v>0.1</v>
      </c>
      <c r="N5" s="19">
        <v>300</v>
      </c>
    </row>
    <row r="6" spans="2:14">
      <c r="B6" s="25" t="s">
        <v>88</v>
      </c>
      <c r="C6" s="25">
        <v>1</v>
      </c>
      <c r="D6" s="26" t="s">
        <v>50</v>
      </c>
      <c r="E6" s="25">
        <v>1.1000000000000001</v>
      </c>
      <c r="F6" s="25">
        <f>E6/100</f>
        <v>1.1000000000000001E-2</v>
      </c>
      <c r="G6" s="25">
        <v>100</v>
      </c>
      <c r="H6" s="27">
        <f xml:space="preserve"> (1000*F6)/G6</f>
        <v>0.11000000000000001</v>
      </c>
      <c r="I6" s="28">
        <f>300-1</f>
        <v>299</v>
      </c>
      <c r="J6" s="1"/>
      <c r="M6" s="21">
        <v>0.2</v>
      </c>
      <c r="N6" s="19">
        <v>290</v>
      </c>
    </row>
    <row r="7" spans="2:14">
      <c r="B7" s="1"/>
      <c r="C7" s="1">
        <v>2</v>
      </c>
      <c r="D7" s="26" t="s">
        <v>39</v>
      </c>
      <c r="E7" s="1">
        <v>2.5</v>
      </c>
      <c r="F7" s="1">
        <f t="shared" ref="F7:F42" si="0">E7/100</f>
        <v>2.5000000000000001E-2</v>
      </c>
      <c r="G7" s="1">
        <v>100</v>
      </c>
      <c r="H7" s="13">
        <f t="shared" ref="H7:H42" si="1" xml:space="preserve"> (1000*F7)/G7</f>
        <v>0.25</v>
      </c>
      <c r="I7" s="24">
        <f>290-5</f>
        <v>285</v>
      </c>
      <c r="J7" s="1"/>
      <c r="M7" s="21">
        <v>0.3</v>
      </c>
      <c r="N7" s="19">
        <v>280</v>
      </c>
    </row>
    <row r="8" spans="2:14">
      <c r="B8" s="1"/>
      <c r="C8" s="1">
        <v>3</v>
      </c>
      <c r="D8" s="22" t="s">
        <v>37</v>
      </c>
      <c r="E8" s="1">
        <v>4.4000000000000004</v>
      </c>
      <c r="F8" s="1">
        <f>E8/100</f>
        <v>4.4000000000000004E-2</v>
      </c>
      <c r="G8" s="1">
        <v>100</v>
      </c>
      <c r="H8" s="13">
        <f t="shared" si="1"/>
        <v>0.44000000000000006</v>
      </c>
      <c r="I8" s="24">
        <f>270-4</f>
        <v>266</v>
      </c>
      <c r="J8" s="1"/>
      <c r="M8" s="21">
        <v>0.4</v>
      </c>
      <c r="N8" s="19">
        <v>270</v>
      </c>
    </row>
    <row r="9" spans="2:14">
      <c r="B9" s="1"/>
      <c r="C9" s="1">
        <v>4</v>
      </c>
      <c r="D9" s="22" t="s">
        <v>38</v>
      </c>
      <c r="E9" s="1">
        <v>7.2</v>
      </c>
      <c r="F9" s="1">
        <f t="shared" si="0"/>
        <v>7.2000000000000008E-2</v>
      </c>
      <c r="G9" s="1">
        <v>100</v>
      </c>
      <c r="H9" s="13">
        <f t="shared" si="1"/>
        <v>0.7200000000000002</v>
      </c>
      <c r="I9" s="24">
        <f>240-2</f>
        <v>238</v>
      </c>
      <c r="J9" s="1"/>
      <c r="M9" s="21">
        <v>0.5</v>
      </c>
      <c r="N9" s="19">
        <v>260</v>
      </c>
    </row>
    <row r="10" spans="2:14">
      <c r="B10" s="29"/>
      <c r="C10" s="17"/>
      <c r="D10" s="17"/>
      <c r="E10" s="17"/>
      <c r="F10" s="17"/>
      <c r="G10" s="17"/>
      <c r="H10" s="30"/>
      <c r="I10" s="31"/>
      <c r="J10" s="32"/>
      <c r="M10" s="21">
        <v>0.6</v>
      </c>
      <c r="N10" s="19">
        <v>250</v>
      </c>
    </row>
    <row r="11" spans="2:14">
      <c r="B11" s="1" t="s">
        <v>89</v>
      </c>
      <c r="C11" s="1">
        <v>1</v>
      </c>
      <c r="D11" s="22" t="s">
        <v>50</v>
      </c>
      <c r="E11" s="1">
        <v>1.1000000000000001</v>
      </c>
      <c r="F11" s="1">
        <f>E11/100</f>
        <v>1.1000000000000001E-2</v>
      </c>
      <c r="G11" s="1">
        <v>100</v>
      </c>
      <c r="H11" s="13">
        <f xml:space="preserve"> (1000*F11)/G11</f>
        <v>0.11000000000000001</v>
      </c>
      <c r="I11" s="24">
        <f>300-1</f>
        <v>299</v>
      </c>
      <c r="J11" s="1"/>
      <c r="M11" s="21">
        <v>0.7</v>
      </c>
      <c r="N11" s="19">
        <v>240</v>
      </c>
    </row>
    <row r="12" spans="2:14">
      <c r="B12" s="1"/>
      <c r="C12" s="1">
        <v>2</v>
      </c>
      <c r="D12" s="26" t="s">
        <v>39</v>
      </c>
      <c r="E12" s="1">
        <v>2.5</v>
      </c>
      <c r="F12" s="1">
        <f t="shared" ref="F12" si="2">E12/100</f>
        <v>2.5000000000000001E-2</v>
      </c>
      <c r="G12" s="1">
        <v>100</v>
      </c>
      <c r="H12" s="13">
        <f t="shared" ref="H12:H14" si="3" xml:space="preserve"> (1000*F12)/G12</f>
        <v>0.25</v>
      </c>
      <c r="I12" s="24">
        <f>290-5</f>
        <v>285</v>
      </c>
      <c r="J12" s="1"/>
      <c r="M12" s="21">
        <v>0.8</v>
      </c>
      <c r="N12" s="19">
        <v>230</v>
      </c>
    </row>
    <row r="13" spans="2:14">
      <c r="B13" s="1"/>
      <c r="C13" s="1">
        <v>3</v>
      </c>
      <c r="D13" s="22" t="s">
        <v>37</v>
      </c>
      <c r="E13" s="1">
        <v>4.4000000000000004</v>
      </c>
      <c r="F13" s="1">
        <f>E13/100</f>
        <v>4.4000000000000004E-2</v>
      </c>
      <c r="G13" s="1">
        <v>100</v>
      </c>
      <c r="H13" s="13">
        <f t="shared" si="3"/>
        <v>0.44000000000000006</v>
      </c>
      <c r="I13" s="24">
        <f>270-4</f>
        <v>266</v>
      </c>
      <c r="J13" s="1"/>
      <c r="M13" s="21">
        <v>0.9</v>
      </c>
      <c r="N13" s="19">
        <v>220</v>
      </c>
    </row>
    <row r="14" spans="2:14">
      <c r="B14" s="1"/>
      <c r="C14" s="1">
        <v>4</v>
      </c>
      <c r="D14" s="22" t="s">
        <v>38</v>
      </c>
      <c r="E14" s="1">
        <v>7.2</v>
      </c>
      <c r="F14" s="1">
        <f t="shared" ref="F14" si="4">E14/100</f>
        <v>7.2000000000000008E-2</v>
      </c>
      <c r="G14" s="1">
        <v>100</v>
      </c>
      <c r="H14" s="13">
        <f t="shared" si="3"/>
        <v>0.7200000000000002</v>
      </c>
      <c r="I14" s="24">
        <f>240-2</f>
        <v>238</v>
      </c>
      <c r="J14" s="1"/>
      <c r="M14" s="21">
        <v>1</v>
      </c>
      <c r="N14" s="19">
        <v>210</v>
      </c>
    </row>
    <row r="15" spans="2:14">
      <c r="B15" s="29"/>
      <c r="C15" s="17"/>
      <c r="D15" s="17"/>
      <c r="E15" s="17"/>
      <c r="F15" s="17"/>
      <c r="G15" s="17"/>
      <c r="H15" s="30"/>
      <c r="I15" s="31"/>
      <c r="J15" s="32"/>
      <c r="M15" s="21">
        <v>1.1000000000000001</v>
      </c>
      <c r="N15" s="19">
        <v>200</v>
      </c>
    </row>
    <row r="16" spans="2:14">
      <c r="B16" s="1" t="s">
        <v>90</v>
      </c>
      <c r="C16" s="1">
        <v>1</v>
      </c>
      <c r="D16" s="1" t="s">
        <v>51</v>
      </c>
      <c r="E16" s="1">
        <v>4.5999999999999996</v>
      </c>
      <c r="F16" s="1">
        <f t="shared" si="0"/>
        <v>4.5999999999999999E-2</v>
      </c>
      <c r="G16" s="1">
        <v>100</v>
      </c>
      <c r="H16" s="13">
        <f t="shared" si="1"/>
        <v>0.46</v>
      </c>
      <c r="I16" s="24">
        <f>270-6</f>
        <v>264</v>
      </c>
      <c r="J16" s="1"/>
      <c r="M16" s="21">
        <v>1.2</v>
      </c>
      <c r="N16" s="19">
        <v>190</v>
      </c>
    </row>
    <row r="17" spans="2:14">
      <c r="B17" s="1"/>
      <c r="C17" s="1">
        <v>2</v>
      </c>
      <c r="D17" s="1" t="s">
        <v>52</v>
      </c>
      <c r="E17" s="1">
        <v>3</v>
      </c>
      <c r="F17" s="1">
        <f t="shared" si="0"/>
        <v>0.03</v>
      </c>
      <c r="G17" s="1">
        <v>100</v>
      </c>
      <c r="H17" s="13">
        <f t="shared" si="1"/>
        <v>0.3</v>
      </c>
      <c r="I17" s="24">
        <v>280</v>
      </c>
      <c r="J17" s="1"/>
      <c r="M17" s="21">
        <v>1.3</v>
      </c>
      <c r="N17" s="19">
        <v>180</v>
      </c>
    </row>
    <row r="18" spans="2:14">
      <c r="B18" s="1"/>
      <c r="C18" s="1">
        <v>3</v>
      </c>
      <c r="D18" s="1" t="s">
        <v>53</v>
      </c>
      <c r="E18" s="1">
        <v>2.2999999999999998</v>
      </c>
      <c r="F18" s="1">
        <f t="shared" si="0"/>
        <v>2.3E-2</v>
      </c>
      <c r="G18" s="1">
        <v>100</v>
      </c>
      <c r="H18" s="13">
        <f t="shared" si="1"/>
        <v>0.23</v>
      </c>
      <c r="I18" s="24">
        <f>290-3</f>
        <v>287</v>
      </c>
      <c r="J18" s="1"/>
      <c r="M18" s="21">
        <v>1.4</v>
      </c>
      <c r="N18" s="19">
        <v>170</v>
      </c>
    </row>
    <row r="19" spans="2:14">
      <c r="B19" s="1"/>
      <c r="C19" s="1">
        <v>4</v>
      </c>
      <c r="D19" s="1" t="s">
        <v>54</v>
      </c>
      <c r="E19" s="1">
        <v>1.1000000000000001</v>
      </c>
      <c r="F19" s="1">
        <f t="shared" si="0"/>
        <v>1.1000000000000001E-2</v>
      </c>
      <c r="G19" s="1">
        <v>100</v>
      </c>
      <c r="H19" s="13">
        <f t="shared" si="1"/>
        <v>0.11000000000000001</v>
      </c>
      <c r="I19" s="24">
        <f>300-1</f>
        <v>299</v>
      </c>
      <c r="J19" s="1"/>
      <c r="M19" s="21">
        <v>1.5</v>
      </c>
      <c r="N19" s="19">
        <v>160</v>
      </c>
    </row>
    <row r="20" spans="2:14">
      <c r="B20" s="29"/>
      <c r="C20" s="17"/>
      <c r="D20" s="17"/>
      <c r="E20" s="17"/>
      <c r="F20" s="17"/>
      <c r="G20" s="17"/>
      <c r="H20" s="30"/>
      <c r="I20" s="31"/>
      <c r="J20" s="32"/>
      <c r="M20" s="21">
        <v>1.6</v>
      </c>
      <c r="N20" s="19">
        <v>150</v>
      </c>
    </row>
    <row r="21" spans="2:14">
      <c r="B21" s="1" t="s">
        <v>91</v>
      </c>
      <c r="C21" s="1" t="s">
        <v>55</v>
      </c>
      <c r="D21" s="1" t="s">
        <v>59</v>
      </c>
      <c r="E21" s="1">
        <v>1.1000000000000001</v>
      </c>
      <c r="F21" s="1">
        <f t="shared" si="0"/>
        <v>1.1000000000000001E-2</v>
      </c>
      <c r="G21" s="1">
        <v>100</v>
      </c>
      <c r="H21" s="13">
        <f t="shared" si="1"/>
        <v>0.11000000000000001</v>
      </c>
      <c r="I21" s="24">
        <f>300-1</f>
        <v>299</v>
      </c>
      <c r="J21" s="1"/>
      <c r="M21" s="21">
        <v>1.7</v>
      </c>
      <c r="N21" s="19">
        <v>140</v>
      </c>
    </row>
    <row r="22" spans="2:14">
      <c r="B22" s="1"/>
      <c r="C22" s="1" t="s">
        <v>55</v>
      </c>
      <c r="D22" s="1" t="s">
        <v>38</v>
      </c>
      <c r="E22" s="1">
        <v>3.1</v>
      </c>
      <c r="F22" s="1">
        <f t="shared" si="0"/>
        <v>3.1E-2</v>
      </c>
      <c r="G22" s="1">
        <v>100</v>
      </c>
      <c r="H22" s="13">
        <f t="shared" si="1"/>
        <v>0.31</v>
      </c>
      <c r="I22" s="24">
        <f>280-1</f>
        <v>279</v>
      </c>
      <c r="J22" s="1"/>
      <c r="M22" s="21">
        <v>1.8</v>
      </c>
      <c r="N22" s="19">
        <v>130</v>
      </c>
    </row>
    <row r="23" spans="2:14">
      <c r="B23" s="1"/>
      <c r="C23" s="1" t="s">
        <v>56</v>
      </c>
      <c r="D23" s="1" t="s">
        <v>59</v>
      </c>
      <c r="E23" s="1">
        <v>1.1000000000000001</v>
      </c>
      <c r="F23" s="1">
        <f t="shared" si="0"/>
        <v>1.1000000000000001E-2</v>
      </c>
      <c r="G23" s="1">
        <v>100</v>
      </c>
      <c r="H23" s="13">
        <f t="shared" si="1"/>
        <v>0.11000000000000001</v>
      </c>
      <c r="I23" s="24">
        <f>300-1</f>
        <v>299</v>
      </c>
      <c r="J23" s="1"/>
      <c r="M23" s="21">
        <v>1.9</v>
      </c>
      <c r="N23" s="19">
        <v>120</v>
      </c>
    </row>
    <row r="24" spans="2:14">
      <c r="B24" s="1"/>
      <c r="C24" s="1" t="s">
        <v>56</v>
      </c>
      <c r="D24" s="1" t="s">
        <v>38</v>
      </c>
      <c r="E24" s="1">
        <v>4</v>
      </c>
      <c r="F24" s="1">
        <f t="shared" si="0"/>
        <v>0.04</v>
      </c>
      <c r="G24" s="1">
        <v>100</v>
      </c>
      <c r="H24" s="13">
        <f t="shared" si="1"/>
        <v>0.4</v>
      </c>
      <c r="I24" s="24">
        <v>270</v>
      </c>
      <c r="J24" s="1"/>
      <c r="M24" s="21">
        <v>2</v>
      </c>
      <c r="N24" s="19">
        <v>110</v>
      </c>
    </row>
    <row r="25" spans="2:14">
      <c r="B25" s="1"/>
      <c r="C25" s="1" t="s">
        <v>57</v>
      </c>
      <c r="D25" s="1" t="s">
        <v>59</v>
      </c>
      <c r="E25" s="1">
        <v>1.1000000000000001</v>
      </c>
      <c r="F25" s="1">
        <f t="shared" si="0"/>
        <v>1.1000000000000001E-2</v>
      </c>
      <c r="G25" s="1">
        <v>100</v>
      </c>
      <c r="H25" s="13">
        <f t="shared" si="1"/>
        <v>0.11000000000000001</v>
      </c>
      <c r="I25" s="24">
        <f>300-1</f>
        <v>299</v>
      </c>
      <c r="J25" s="1"/>
      <c r="M25" s="21">
        <v>2.1</v>
      </c>
      <c r="N25" s="19">
        <v>100</v>
      </c>
    </row>
    <row r="26" spans="2:14">
      <c r="B26" s="1"/>
      <c r="C26" s="1" t="s">
        <v>57</v>
      </c>
      <c r="D26" s="1" t="s">
        <v>38</v>
      </c>
      <c r="E26" s="1">
        <v>3.5</v>
      </c>
      <c r="F26" s="1">
        <f t="shared" si="0"/>
        <v>3.5000000000000003E-2</v>
      </c>
      <c r="G26" s="1">
        <v>100</v>
      </c>
      <c r="H26" s="13">
        <f t="shared" si="1"/>
        <v>0.35</v>
      </c>
      <c r="I26" s="24">
        <f>280-5</f>
        <v>275</v>
      </c>
      <c r="J26" s="1"/>
      <c r="M26" s="21">
        <v>2.2000000000000002</v>
      </c>
      <c r="N26" s="19">
        <v>90</v>
      </c>
    </row>
    <row r="27" spans="2:14">
      <c r="B27" s="1"/>
      <c r="C27" s="1" t="s">
        <v>58</v>
      </c>
      <c r="D27" s="1" t="s">
        <v>59</v>
      </c>
      <c r="E27" s="1">
        <v>1.1000000000000001</v>
      </c>
      <c r="F27" s="1">
        <f t="shared" si="0"/>
        <v>1.1000000000000001E-2</v>
      </c>
      <c r="G27" s="1">
        <v>100</v>
      </c>
      <c r="H27" s="13">
        <f t="shared" si="1"/>
        <v>0.11000000000000001</v>
      </c>
      <c r="I27" s="24">
        <f>300-1</f>
        <v>299</v>
      </c>
      <c r="J27" s="1"/>
      <c r="M27" s="21">
        <v>2.2999999999999998</v>
      </c>
      <c r="N27" s="19">
        <v>80</v>
      </c>
    </row>
    <row r="28" spans="2:14">
      <c r="B28" s="1"/>
      <c r="C28" s="1" t="s">
        <v>58</v>
      </c>
      <c r="D28" s="1" t="s">
        <v>38</v>
      </c>
      <c r="E28" s="1">
        <v>3.1</v>
      </c>
      <c r="F28" s="1">
        <f t="shared" si="0"/>
        <v>3.1E-2</v>
      </c>
      <c r="G28" s="1">
        <v>100</v>
      </c>
      <c r="H28" s="13">
        <f t="shared" si="1"/>
        <v>0.31</v>
      </c>
      <c r="I28" s="24">
        <f>280-1</f>
        <v>279</v>
      </c>
      <c r="J28" s="1"/>
      <c r="M28" s="21">
        <v>2.4</v>
      </c>
      <c r="N28" s="19">
        <v>70</v>
      </c>
    </row>
    <row r="29" spans="2:14">
      <c r="B29" s="29"/>
      <c r="C29" s="17"/>
      <c r="D29" s="17"/>
      <c r="E29" s="17"/>
      <c r="F29" s="17"/>
      <c r="G29" s="17"/>
      <c r="H29" s="30"/>
      <c r="I29" s="31"/>
      <c r="J29" s="32"/>
      <c r="M29" s="21">
        <v>2.5</v>
      </c>
      <c r="N29" s="19">
        <v>60</v>
      </c>
    </row>
    <row r="30" spans="2:14">
      <c r="B30" s="1" t="s">
        <v>92</v>
      </c>
      <c r="C30" s="1" t="s">
        <v>55</v>
      </c>
      <c r="D30" s="1" t="s">
        <v>60</v>
      </c>
      <c r="E30" s="1">
        <v>1.4</v>
      </c>
      <c r="F30" s="1">
        <f t="shared" si="0"/>
        <v>1.3999999999999999E-2</v>
      </c>
      <c r="G30" s="1">
        <v>100</v>
      </c>
      <c r="H30" s="13">
        <f t="shared" si="1"/>
        <v>0.13999999999999999</v>
      </c>
      <c r="I30" s="24">
        <f>300-4</f>
        <v>296</v>
      </c>
      <c r="J30" s="165">
        <v>1.5</v>
      </c>
      <c r="M30" s="21">
        <v>2.6</v>
      </c>
      <c r="N30" s="19">
        <v>50</v>
      </c>
    </row>
    <row r="31" spans="2:14">
      <c r="B31" s="1"/>
      <c r="C31" s="1" t="s">
        <v>55</v>
      </c>
      <c r="D31" s="1" t="s">
        <v>38</v>
      </c>
      <c r="E31" s="1">
        <v>8</v>
      </c>
      <c r="F31" s="1">
        <f t="shared" si="0"/>
        <v>0.08</v>
      </c>
      <c r="G31" s="1">
        <v>100</v>
      </c>
      <c r="H31" s="13">
        <f t="shared" si="1"/>
        <v>0.8</v>
      </c>
      <c r="I31" s="24">
        <f>230-0</f>
        <v>230</v>
      </c>
      <c r="J31" s="1"/>
      <c r="M31" s="21">
        <v>2.7</v>
      </c>
      <c r="N31" s="19">
        <v>40</v>
      </c>
    </row>
    <row r="32" spans="2:14">
      <c r="B32" s="1"/>
      <c r="C32" s="1" t="s">
        <v>56</v>
      </c>
      <c r="D32" s="1" t="s">
        <v>60</v>
      </c>
      <c r="E32" s="1">
        <v>1.4</v>
      </c>
      <c r="F32" s="1">
        <f t="shared" si="0"/>
        <v>1.3999999999999999E-2</v>
      </c>
      <c r="G32" s="1">
        <v>100</v>
      </c>
      <c r="H32" s="13">
        <f t="shared" si="1"/>
        <v>0.13999999999999999</v>
      </c>
      <c r="I32" s="24">
        <f>300-4</f>
        <v>296</v>
      </c>
      <c r="J32" s="1"/>
      <c r="M32" s="21">
        <v>2.8</v>
      </c>
      <c r="N32" s="19">
        <v>30</v>
      </c>
    </row>
    <row r="33" spans="1:17">
      <c r="B33" s="1"/>
      <c r="C33" s="1" t="s">
        <v>56</v>
      </c>
      <c r="D33" s="1" t="s">
        <v>38</v>
      </c>
      <c r="E33" s="1">
        <v>8</v>
      </c>
      <c r="F33" s="1">
        <f t="shared" si="0"/>
        <v>0.08</v>
      </c>
      <c r="G33" s="1">
        <v>100</v>
      </c>
      <c r="H33" s="13">
        <f t="shared" si="1"/>
        <v>0.8</v>
      </c>
      <c r="I33" s="24">
        <f>230-0</f>
        <v>230</v>
      </c>
      <c r="J33" s="1"/>
      <c r="M33" s="21">
        <v>2.9</v>
      </c>
      <c r="N33" s="19">
        <v>20</v>
      </c>
    </row>
    <row r="34" spans="1:17">
      <c r="B34" s="29"/>
      <c r="C34" s="17"/>
      <c r="D34" s="17"/>
      <c r="E34" s="17"/>
      <c r="F34" s="17"/>
      <c r="G34" s="17"/>
      <c r="H34" s="30"/>
      <c r="I34" s="31"/>
      <c r="J34" s="32"/>
      <c r="M34" s="21">
        <v>3</v>
      </c>
      <c r="N34" s="19">
        <v>10</v>
      </c>
    </row>
    <row r="35" spans="1:17">
      <c r="B35" s="1" t="s">
        <v>93</v>
      </c>
      <c r="C35" s="1">
        <v>1</v>
      </c>
      <c r="D35" s="1" t="s">
        <v>39</v>
      </c>
      <c r="E35" s="1">
        <v>3</v>
      </c>
      <c r="F35" s="1">
        <f t="shared" si="0"/>
        <v>0.03</v>
      </c>
      <c r="G35" s="1">
        <v>100</v>
      </c>
      <c r="H35" s="13">
        <f t="shared" si="1"/>
        <v>0.3</v>
      </c>
      <c r="I35" s="24">
        <f>280-0</f>
        <v>280</v>
      </c>
      <c r="J35" s="165">
        <v>1.3</v>
      </c>
    </row>
    <row r="36" spans="1:17">
      <c r="B36" s="1"/>
      <c r="C36" s="1">
        <v>2</v>
      </c>
      <c r="D36" s="1" t="s">
        <v>61</v>
      </c>
      <c r="E36" s="1">
        <v>6</v>
      </c>
      <c r="F36" s="1">
        <f t="shared" si="0"/>
        <v>0.06</v>
      </c>
      <c r="G36" s="1">
        <v>100</v>
      </c>
      <c r="H36" s="13">
        <f t="shared" si="1"/>
        <v>0.6</v>
      </c>
      <c r="I36" s="24">
        <f>250-0</f>
        <v>250</v>
      </c>
      <c r="J36" s="1"/>
    </row>
    <row r="37" spans="1:17">
      <c r="B37" s="1"/>
      <c r="C37" s="1"/>
      <c r="D37" s="1"/>
      <c r="E37" s="1"/>
      <c r="F37" s="1"/>
      <c r="G37" s="1"/>
      <c r="H37" s="13"/>
      <c r="I37" s="1"/>
      <c r="J37" s="1"/>
    </row>
    <row r="38" spans="1:17">
      <c r="B38" s="1" t="s">
        <v>94</v>
      </c>
      <c r="C38" s="1">
        <v>1</v>
      </c>
      <c r="D38" s="1" t="s">
        <v>62</v>
      </c>
      <c r="E38" s="1">
        <v>2.2000000000000002</v>
      </c>
      <c r="F38" s="1">
        <f t="shared" si="0"/>
        <v>2.2000000000000002E-2</v>
      </c>
      <c r="G38" s="1">
        <v>100</v>
      </c>
      <c r="H38" s="13">
        <f t="shared" si="1"/>
        <v>0.22000000000000003</v>
      </c>
      <c r="I38" s="166">
        <f>290-2</f>
        <v>288</v>
      </c>
      <c r="J38" s="1"/>
    </row>
    <row r="39" spans="1:17">
      <c r="B39" s="1"/>
      <c r="C39" s="1">
        <v>2</v>
      </c>
      <c r="D39" s="1" t="s">
        <v>63</v>
      </c>
      <c r="E39" s="1">
        <v>1.6</v>
      </c>
      <c r="F39" s="1">
        <f t="shared" si="0"/>
        <v>1.6E-2</v>
      </c>
      <c r="G39" s="1">
        <v>100</v>
      </c>
      <c r="H39" s="13">
        <f t="shared" si="1"/>
        <v>0.16</v>
      </c>
      <c r="I39" s="166">
        <f>300-6</f>
        <v>294</v>
      </c>
      <c r="J39" s="1"/>
      <c r="P39" s="80"/>
      <c r="Q39" s="81"/>
    </row>
    <row r="40" spans="1:17">
      <c r="B40" s="1"/>
      <c r="C40" s="1">
        <v>3</v>
      </c>
      <c r="D40" s="1" t="s">
        <v>64</v>
      </c>
      <c r="E40" s="1">
        <v>1.2</v>
      </c>
      <c r="F40" s="1">
        <f t="shared" si="0"/>
        <v>1.2E-2</v>
      </c>
      <c r="G40" s="1">
        <v>100</v>
      </c>
      <c r="H40" s="13">
        <f t="shared" si="1"/>
        <v>0.12</v>
      </c>
      <c r="I40" s="166">
        <f>300-2</f>
        <v>298</v>
      </c>
      <c r="J40" s="1"/>
      <c r="P40" s="80"/>
      <c r="Q40" s="81"/>
    </row>
    <row r="41" spans="1:17">
      <c r="A41" s="17"/>
      <c r="B41" s="17"/>
      <c r="C41" s="17"/>
      <c r="D41" s="17"/>
      <c r="E41" s="17"/>
      <c r="F41" s="17"/>
      <c r="G41" s="17"/>
      <c r="H41" s="30"/>
      <c r="I41" s="31"/>
      <c r="J41" s="17"/>
      <c r="K41" s="17"/>
      <c r="L41" s="17"/>
      <c r="M41" s="164"/>
      <c r="P41" s="80"/>
      <c r="Q41" s="81"/>
    </row>
    <row r="42" spans="1:17">
      <c r="B42" s="1" t="s">
        <v>95</v>
      </c>
      <c r="C42" s="1">
        <v>1</v>
      </c>
      <c r="D42" s="1" t="s">
        <v>65</v>
      </c>
      <c r="E42" s="1">
        <v>8</v>
      </c>
      <c r="F42" s="1">
        <f t="shared" si="0"/>
        <v>0.08</v>
      </c>
      <c r="G42" s="1">
        <v>100</v>
      </c>
      <c r="H42" s="13">
        <f t="shared" si="1"/>
        <v>0.8</v>
      </c>
      <c r="I42" s="24">
        <f>230-0</f>
        <v>230</v>
      </c>
      <c r="J42" s="1"/>
      <c r="P42" s="80"/>
      <c r="Q42" s="81"/>
    </row>
    <row r="43" spans="1:17">
      <c r="B43" s="29"/>
      <c r="C43" s="17"/>
      <c r="D43" s="17"/>
      <c r="E43" s="17"/>
      <c r="F43" s="17"/>
      <c r="G43" s="17"/>
      <c r="H43" s="30"/>
      <c r="I43" s="31"/>
      <c r="J43" s="32"/>
      <c r="P43" s="80"/>
      <c r="Q43" s="81"/>
    </row>
    <row r="44" spans="1:17">
      <c r="B44" s="1" t="s">
        <v>66</v>
      </c>
      <c r="C44" s="1">
        <v>1</v>
      </c>
      <c r="D44" s="1" t="s">
        <v>41</v>
      </c>
      <c r="E44" s="1">
        <v>20</v>
      </c>
      <c r="F44" s="1">
        <f t="shared" ref="F44:F48" si="5">E44/100</f>
        <v>0.2</v>
      </c>
      <c r="G44" s="1">
        <v>350</v>
      </c>
      <c r="H44" s="13">
        <f t="shared" ref="H44:H48" si="6" xml:space="preserve"> (1000*F44)/G44</f>
        <v>0.5714285714285714</v>
      </c>
      <c r="I44" s="24">
        <f>260-7</f>
        <v>253</v>
      </c>
      <c r="J44" s="1"/>
      <c r="P44" s="80"/>
      <c r="Q44" s="81"/>
    </row>
    <row r="45" spans="1:17">
      <c r="B45" s="17"/>
      <c r="C45" s="17"/>
      <c r="D45" s="17"/>
      <c r="E45" s="17"/>
      <c r="F45" s="17"/>
      <c r="G45" s="17"/>
      <c r="H45" s="30"/>
      <c r="I45" s="31"/>
      <c r="J45" s="17"/>
      <c r="P45" s="80"/>
      <c r="Q45" s="81"/>
    </row>
    <row r="46" spans="1:17">
      <c r="B46" s="1" t="s">
        <v>67</v>
      </c>
      <c r="C46" s="1">
        <v>1</v>
      </c>
      <c r="D46" s="1">
        <v>350</v>
      </c>
      <c r="E46" s="1">
        <v>20</v>
      </c>
      <c r="F46" s="1">
        <f>E46/100</f>
        <v>0.2</v>
      </c>
      <c r="G46" s="1">
        <v>350</v>
      </c>
      <c r="H46" s="13">
        <f t="shared" si="6"/>
        <v>0.5714285714285714</v>
      </c>
      <c r="I46" s="24">
        <f>260-7</f>
        <v>253</v>
      </c>
      <c r="J46" s="1"/>
      <c r="P46" s="80"/>
      <c r="Q46" s="81"/>
    </row>
    <row r="47" spans="1:17">
      <c r="B47" s="1"/>
      <c r="C47" s="1">
        <v>2</v>
      </c>
      <c r="D47" s="1">
        <v>490</v>
      </c>
      <c r="E47" s="1">
        <v>27</v>
      </c>
      <c r="F47" s="1">
        <f t="shared" si="5"/>
        <v>0.27</v>
      </c>
      <c r="G47" s="1">
        <v>490</v>
      </c>
      <c r="H47" s="13">
        <f xml:space="preserve"> (1000*F47)/G47</f>
        <v>0.55102040816326525</v>
      </c>
      <c r="I47" s="24">
        <f>260-5</f>
        <v>255</v>
      </c>
      <c r="J47" s="1"/>
      <c r="P47" s="80"/>
      <c r="Q47" s="81"/>
    </row>
    <row r="48" spans="1:17">
      <c r="B48" s="1"/>
      <c r="C48" s="1">
        <v>3</v>
      </c>
      <c r="D48" s="1">
        <v>650</v>
      </c>
      <c r="E48" s="1">
        <v>22</v>
      </c>
      <c r="F48" s="1">
        <f t="shared" si="5"/>
        <v>0.22</v>
      </c>
      <c r="G48" s="1">
        <v>650</v>
      </c>
      <c r="H48" s="13">
        <f t="shared" si="6"/>
        <v>0.33846153846153848</v>
      </c>
      <c r="I48" s="24">
        <f>280-4</f>
        <v>276</v>
      </c>
      <c r="J48" s="1"/>
      <c r="P48" s="80"/>
      <c r="Q48" s="81"/>
    </row>
    <row r="49" spans="2:17">
      <c r="B49" s="29"/>
      <c r="C49" s="17"/>
      <c r="D49" s="17"/>
      <c r="E49" s="17"/>
      <c r="F49" s="17"/>
      <c r="G49" s="17"/>
      <c r="H49" s="30"/>
      <c r="I49" s="31"/>
      <c r="J49" s="32"/>
      <c r="P49" s="80"/>
      <c r="Q49" s="81"/>
    </row>
    <row r="50" spans="2:17">
      <c r="B50" s="1" t="s">
        <v>68</v>
      </c>
      <c r="C50" s="1">
        <v>1</v>
      </c>
      <c r="D50" s="1" t="s">
        <v>69</v>
      </c>
      <c r="E50" s="1">
        <v>20</v>
      </c>
      <c r="F50" s="1">
        <f t="shared" ref="F50:F51" si="7">E50/100</f>
        <v>0.2</v>
      </c>
      <c r="G50" s="1">
        <v>720</v>
      </c>
      <c r="H50" s="13">
        <f t="shared" ref="H50:H51" si="8" xml:space="preserve"> (1000*F50)/G50</f>
        <v>0.27777777777777779</v>
      </c>
      <c r="I50" s="24">
        <f>290-8</f>
        <v>282</v>
      </c>
      <c r="J50" s="1"/>
      <c r="P50" s="80"/>
      <c r="Q50" s="81"/>
    </row>
    <row r="51" spans="2:17">
      <c r="B51" s="1"/>
      <c r="C51" s="1">
        <v>2</v>
      </c>
      <c r="D51" s="1" t="s">
        <v>70</v>
      </c>
      <c r="E51" s="1">
        <v>35</v>
      </c>
      <c r="F51" s="1">
        <f t="shared" si="7"/>
        <v>0.35</v>
      </c>
      <c r="G51" s="1">
        <v>720</v>
      </c>
      <c r="H51" s="13">
        <f t="shared" si="8"/>
        <v>0.4861111111111111</v>
      </c>
      <c r="I51" s="24">
        <f>270-9</f>
        <v>261</v>
      </c>
      <c r="J51" s="1"/>
      <c r="P51" s="80"/>
      <c r="Q51" s="81"/>
    </row>
    <row r="52" spans="2:17">
      <c r="B52" s="17"/>
      <c r="J52" s="17"/>
      <c r="P52" s="80"/>
      <c r="Q52" s="81"/>
    </row>
    <row r="53" spans="2:17">
      <c r="B53" s="17"/>
      <c r="J53" s="17"/>
      <c r="P53" s="80"/>
      <c r="Q53" s="81"/>
    </row>
    <row r="54" spans="2:17">
      <c r="B54" s="17"/>
      <c r="J54" s="17"/>
      <c r="P54" s="80"/>
      <c r="Q54" s="81"/>
    </row>
    <row r="55" spans="2:17">
      <c r="B55" s="17"/>
      <c r="J55" s="17"/>
      <c r="P55" s="80"/>
      <c r="Q55" s="81"/>
    </row>
    <row r="56" spans="2:17">
      <c r="B56" s="17"/>
      <c r="J56" s="17"/>
      <c r="P56" s="80"/>
      <c r="Q56" s="81"/>
    </row>
    <row r="57" spans="2:17">
      <c r="B57" s="17"/>
      <c r="J57" s="17"/>
      <c r="P57" s="80"/>
      <c r="Q57" s="81"/>
    </row>
    <row r="58" spans="2:17">
      <c r="B58" s="17"/>
      <c r="J58" s="17"/>
      <c r="P58" s="80"/>
      <c r="Q58" s="81"/>
    </row>
    <row r="59" spans="2:17">
      <c r="B59" s="17"/>
      <c r="J59" s="17"/>
      <c r="P59" s="80"/>
      <c r="Q59" s="81"/>
    </row>
    <row r="60" spans="2:17">
      <c r="B60" s="17"/>
      <c r="J60" s="17"/>
      <c r="P60" s="80"/>
      <c r="Q60" s="81"/>
    </row>
    <row r="61" spans="2:17">
      <c r="B61" s="17"/>
      <c r="J61" s="17"/>
      <c r="P61" s="80"/>
      <c r="Q61" s="81"/>
    </row>
    <row r="62" spans="2:17">
      <c r="B62" s="17"/>
      <c r="J62" s="79"/>
      <c r="P62" s="80"/>
      <c r="Q62" s="81"/>
    </row>
    <row r="63" spans="2:17">
      <c r="J63" s="17"/>
      <c r="P63" s="80"/>
      <c r="Q63" s="81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scoring2</vt:lpstr>
      <vt:lpstr>points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2016-05-06T16:01:13Z</dcterms:modified>
</cp:coreProperties>
</file>